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13_ncr:1_{01B57831-2249-46A9-ADCF-D7B4750427E8}" xr6:coauthVersionLast="36" xr6:coauthVersionMax="36" xr10:uidLastSave="{00000000-0000-0000-0000-000000000000}"/>
  <bookViews>
    <workbookView xWindow="32760" yWindow="32760" windowWidth="20490" windowHeight="7340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R9" i="423" s="1"/>
  <c r="W9" i="423" s="1"/>
  <c r="U9" i="423"/>
  <c r="T9" i="423"/>
  <c r="G2" i="423"/>
  <c r="C23" i="406" l="1"/>
  <c r="D48" i="417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E4" i="407"/>
  <c r="F24" i="418"/>
  <c r="D24" i="418"/>
  <c r="H13" i="418" l="1"/>
  <c r="H16" i="407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E26" i="418" s="1"/>
  <c r="F23" i="418"/>
  <c r="E23" i="418"/>
  <c r="D22" i="418"/>
  <c r="G20" i="412"/>
  <c r="G22" i="412" s="1"/>
  <c r="G30" i="412" s="1"/>
  <c r="G23" i="35" s="1"/>
  <c r="F20" i="412"/>
  <c r="F22" i="412" s="1"/>
  <c r="E22" i="412"/>
  <c r="E23" i="35" s="1"/>
  <c r="G25" i="418"/>
  <c r="G26" i="418" s="1"/>
  <c r="D25" i="418"/>
  <c r="D26" i="418" s="1"/>
  <c r="G24" i="418"/>
  <c r="G23" i="418"/>
  <c r="D23" i="418"/>
  <c r="H23" i="418" s="1"/>
  <c r="F22" i="418"/>
  <c r="F27" i="418" s="1"/>
  <c r="F26" i="35" s="1"/>
  <c r="F35" i="35" s="1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 s="1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 s="1"/>
  <c r="F102" i="35"/>
  <c r="E63" i="35"/>
  <c r="E69" i="35" s="1"/>
  <c r="D63" i="35"/>
  <c r="H63" i="35" s="1"/>
  <c r="D69" i="35"/>
  <c r="G62" i="35"/>
  <c r="G76" i="35" s="1"/>
  <c r="G101" i="35"/>
  <c r="F62" i="35"/>
  <c r="F76" i="35" s="1"/>
  <c r="F101" i="35"/>
  <c r="E62" i="35"/>
  <c r="D62" i="35"/>
  <c r="D68" i="35" s="1"/>
  <c r="G61" i="35"/>
  <c r="G75" i="35" s="1"/>
  <c r="G100" i="35"/>
  <c r="F61" i="35"/>
  <c r="F75" i="35" s="1"/>
  <c r="F100" i="35"/>
  <c r="E61" i="35"/>
  <c r="E67" i="35"/>
  <c r="E75" i="35" s="1"/>
  <c r="D61" i="35"/>
  <c r="H61" i="35" s="1"/>
  <c r="G57" i="35"/>
  <c r="F57" i="35"/>
  <c r="E57" i="35"/>
  <c r="D57" i="35"/>
  <c r="H57" i="35" s="1"/>
  <c r="G53" i="35"/>
  <c r="H53" i="35"/>
  <c r="F53" i="35"/>
  <c r="E53" i="35"/>
  <c r="D53" i="35"/>
  <c r="G48" i="35"/>
  <c r="F48" i="35"/>
  <c r="F99" i="35"/>
  <c r="E48" i="35"/>
  <c r="D48" i="35"/>
  <c r="H48" i="35" s="1"/>
  <c r="F27" i="35"/>
  <c r="H27" i="35" s="1"/>
  <c r="G102" i="35"/>
  <c r="F107" i="35"/>
  <c r="H107" i="35"/>
  <c r="D100" i="35"/>
  <c r="H100" i="35"/>
  <c r="E103" i="35"/>
  <c r="D101" i="35"/>
  <c r="H101" i="35" s="1"/>
  <c r="E102" i="35"/>
  <c r="D102" i="35"/>
  <c r="H102" i="35"/>
  <c r="E101" i="35"/>
  <c r="E99" i="35"/>
  <c r="E100" i="35"/>
  <c r="D103" i="35"/>
  <c r="H103" i="35" s="1"/>
  <c r="D99" i="35"/>
  <c r="H99" i="35" s="1"/>
  <c r="H93" i="35"/>
  <c r="H90" i="35"/>
  <c r="E24" i="418"/>
  <c r="D27" i="418" l="1"/>
  <c r="D76" i="35"/>
  <c r="E30" i="412"/>
  <c r="H22" i="418"/>
  <c r="E78" i="35"/>
  <c r="H62" i="35"/>
  <c r="D77" i="35"/>
  <c r="E68" i="35"/>
  <c r="H68" i="35" s="1"/>
  <c r="G27" i="418"/>
  <c r="G26" i="35" s="1"/>
  <c r="G35" i="35" s="1"/>
  <c r="E27" i="418"/>
  <c r="E26" i="35" s="1"/>
  <c r="E35" i="35" s="1"/>
  <c r="H25" i="418"/>
  <c r="H26" i="418" s="1"/>
  <c r="H69" i="35"/>
  <c r="H27" i="418"/>
  <c r="D26" i="35"/>
  <c r="F23" i="35"/>
  <c r="F30" i="412"/>
  <c r="E24" i="35"/>
  <c r="E58" i="35" s="1"/>
  <c r="E60" i="35"/>
  <c r="G24" i="35"/>
  <c r="G58" i="35" s="1"/>
  <c r="G72" i="35" s="1"/>
  <c r="G60" i="35"/>
  <c r="G74" i="35" s="1"/>
  <c r="D20" i="412"/>
  <c r="H24" i="418"/>
  <c r="D70" i="35"/>
  <c r="D67" i="35"/>
  <c r="E77" i="35"/>
  <c r="H77" i="35" s="1"/>
  <c r="E76" i="35" l="1"/>
  <c r="H76" i="35" s="1"/>
  <c r="D35" i="35"/>
  <c r="H26" i="35"/>
  <c r="H67" i="35"/>
  <c r="D75" i="35"/>
  <c r="H75" i="35" s="1"/>
  <c r="D78" i="35"/>
  <c r="H78" i="35" s="1"/>
  <c r="H70" i="35"/>
  <c r="E66" i="35"/>
  <c r="E71" i="35" s="1"/>
  <c r="E72" i="35" s="1"/>
  <c r="H20" i="412"/>
  <c r="D22" i="412"/>
  <c r="F60" i="35"/>
  <c r="F74" i="35" s="1"/>
  <c r="F24" i="35"/>
  <c r="F58" i="35" s="1"/>
  <c r="F72" i="35" s="1"/>
  <c r="F83" i="35" s="1"/>
  <c r="F92" i="35" s="1"/>
  <c r="E80" i="35" l="1"/>
  <c r="E82" i="35" s="1"/>
  <c r="E83" i="35" s="1"/>
  <c r="E92" i="35" s="1"/>
  <c r="F95" i="35"/>
  <c r="F96" i="35" s="1"/>
  <c r="F97" i="35" s="1"/>
  <c r="H35" i="35"/>
  <c r="D30" i="412"/>
  <c r="D23" i="35"/>
  <c r="H22" i="412"/>
  <c r="H30" i="412" s="1"/>
  <c r="E74" i="35"/>
  <c r="E95" i="35" l="1"/>
  <c r="E96" i="35" s="1"/>
  <c r="E97" i="35"/>
  <c r="D60" i="35"/>
  <c r="H23" i="35"/>
  <c r="D24" i="35"/>
  <c r="F105" i="35"/>
  <c r="F106" i="35" s="1"/>
  <c r="C16" i="406"/>
  <c r="H60" i="35" l="1"/>
  <c r="E105" i="35"/>
  <c r="E106" i="35"/>
  <c r="H24" i="35"/>
  <c r="H58" i="35" s="1"/>
  <c r="D58" i="35"/>
  <c r="D66" i="35" l="1"/>
  <c r="D71" i="35" l="1"/>
  <c r="D72" i="35" s="1"/>
  <c r="H66" i="35"/>
  <c r="H71" i="35" s="1"/>
  <c r="D74" i="35"/>
  <c r="H74" i="35" s="1"/>
  <c r="G81" i="35" l="1"/>
  <c r="D80" i="35"/>
  <c r="H72" i="35"/>
  <c r="H80" i="35" l="1"/>
  <c r="D82" i="35"/>
  <c r="H81" i="35"/>
  <c r="G82" i="35"/>
  <c r="G83" i="35" s="1"/>
  <c r="H82" i="35" l="1"/>
  <c r="D83" i="35"/>
  <c r="D92" i="35" l="1"/>
  <c r="H83" i="35"/>
  <c r="G89" i="35" l="1"/>
  <c r="G85" i="35"/>
  <c r="G86" i="35"/>
  <c r="H86" i="35" s="1"/>
  <c r="D95" i="35"/>
  <c r="D96" i="35" s="1"/>
  <c r="D97" i="35" s="1"/>
  <c r="D105" i="35" l="1"/>
  <c r="D106" i="35"/>
  <c r="C15" i="406"/>
  <c r="G87" i="35"/>
  <c r="H85" i="35"/>
  <c r="H87" i="35" s="1"/>
  <c r="H89" i="35"/>
  <c r="H91" i="35" s="1"/>
  <c r="C17" i="406" s="1"/>
  <c r="G91" i="35"/>
  <c r="G99" i="35" l="1"/>
  <c r="G92" i="35"/>
  <c r="G95" i="35" l="1"/>
  <c r="G96" i="35" s="1"/>
  <c r="G97" i="35"/>
  <c r="H92" i="35"/>
  <c r="H95" i="35" l="1"/>
  <c r="H96" i="35" s="1"/>
  <c r="H97" i="35" s="1"/>
  <c r="G105" i="35"/>
  <c r="G106" i="35" s="1"/>
  <c r="C18" i="406"/>
  <c r="C19" i="406" s="1"/>
  <c r="H105" i="35" l="1"/>
  <c r="H106" i="35" s="1"/>
  <c r="C21" i="406"/>
  <c r="C24" i="406"/>
  <c r="C25" i="406" l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<sst xmlns="http://schemas.openxmlformats.org/spreadsheetml/2006/main" count="492" uniqueCount="283">
  <si>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</si>
  <si>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</si>
  <si>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</si>
  <si>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</si>
  <si>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</si>
  <si>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</si>
  <si>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</si>
  <si>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</si>
  <si>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</si>
  <si>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</si>
  <si>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</si>
  <si>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</si>
  <si>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</si>
  <si>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</si>
  <si>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</si>
  <si>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</si>
  <si>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</si>
  <si>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</si>
  <si>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</si>
  <si>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</si>
  <si>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</si>
  <si>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</si>
  <si>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</si>
  <si>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</si>
  <si>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</si>
  <si>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</si>
  <si>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</si>
  <si>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</si>
  <si>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</si>
  <si>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</si>
  <si>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</si>
  <si>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</si>
  <si>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</si>
  <si>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</si>
  <si>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</si>
  <si>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</si>
  <si>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</si>
  <si>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</si>
  <si>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</si>
  <si>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</si>
  <si>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</si>
  <si>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</si>
  <si>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</si>
  <si>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</si>
  <si>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</si>
  <si>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</si>
  <si>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</si>
  <si>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</si>
  <si>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</si>
  <si>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</si>
  <si>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</si>
  <si>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</si>
  <si>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</si>
  <si>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</si>
  <si>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</si>
  <si>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</si>
  <si>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</si>
  <si>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</si>
  <si>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</si>
  <si>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</si>
  <si>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</si>
  <si>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</si>
  <si>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</si>
  <si>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</si>
  <si>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</si>
  <si>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</si>
  <si>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</si>
  <si>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</si>
  <si>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</si>
  <si>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</si>
  <si>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</si>
  <si>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</si>
  <si>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</si>
  <si>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</si>
  <si>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</si>
  <si>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</si>
  <si>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</si>
  <si>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</si>
  <si>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</si>
  <si>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</si>
  <si>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</si>
  <si>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</si>
  <si>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</si>
  <si>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</si>
  <si>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</si>
  <si>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</si>
  <si>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</si>
  <si>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</si>
  <si>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</si>
  <si>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</si>
  <si>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</si>
  <si>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</si>
  <si>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</si>
  <si>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</si>
  <si>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</si>
  <si>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</si>
  <si>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</si>
  <si>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</si>
  <si>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</si>
  <si>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</si>
  <si>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</si>
  <si>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</si>
  <si>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</si>
  <si>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</si>
  <si>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</si>
  <si>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</si>
  <si>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</si>
  <si>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</si>
  <si>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</si>
  <si>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</si>
  <si>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</si>
  <si>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</si>
  <si>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</si>
  <si>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</si>
  <si>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</si>
  <si>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</si>
  <si>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</si>
  <si>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</si>
  <si>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</si>
  <si>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</si>
  <si>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</si>
  <si>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</si>
  <si>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</si>
  <si>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</si>
  <si>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</si>
  <si>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</si>
  <si>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</si>
  <si>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</si>
  <si>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</si>
  <si>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</si>
  <si>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</si>
  <si>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</si>
  <si>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</si>
  <si>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</si>
  <si>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</si>
  <si>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</si>
  <si>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</si>
  <si>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</si>
  <si>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</si>
  <si>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</si>
  <si>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</si>
  <si>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</si>
  <si>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</si>
  <si>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</si>
  <si>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</si>
  <si>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</si>
  <si>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</si>
  <si>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</si>
  <si>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</si>
  <si>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</si>
  <si>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</si>
  <si>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</si>
  <si>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</si>
  <si>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</si>
  <si>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</si>
  <si>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</si>
  <si>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</si>
  <si>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</si>
  <si>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</si>
  <si>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</si>
  <si>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</si>
  <si>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</si>
  <si>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</si>
  <si>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</si>
  <si>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</si>
  <si>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</si>
  <si>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</si>
  <si>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</si>
  <si>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</si>
  <si>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</si>
  <si>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</si>
  <si>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</si>
  <si>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</si>
  <si>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</si>
  <si>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</si>
  <si>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</si>
  <si>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</si>
  <si>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</si>
  <si>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</si>
  <si>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</si>
  <si>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</si>
  <si>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</si>
  <si>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</si>
  <si>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</si>
  <si>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</si>
  <si>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</si>
  <si>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</si>
  <si>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</si>
  <si>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</si>
  <si>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</si>
  <si>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</si>
  <si>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</si>
  <si>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</si>
  <si>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</si>
  <si>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</si>
  <si>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</si>
  <si>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</si>
  <si>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</si>
  <si>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</si>
  <si>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</si>
  <si>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</si>
  <si>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</si>
  <si>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</si>
  <si>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</si>
  <si>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</si>
  <si>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</si>
  <si>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</si>
  <si>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</si>
  <si>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</si>
  <si>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</si>
  <si>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</si>
  <si>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</si>
  <si>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</si>
  <si>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</si>
  <si>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</si>
  <si>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</si>
  <si>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</si>
  <si>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</si>
  <si>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</si>
  <si>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</si>
  <si>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</si>
  <si>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</si>
  <si>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</si>
  <si>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</si>
  <si>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</si>
  <si>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</si>
  <si>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</si>
  <si>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</si>
  <si>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</si>
  <si>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</si>
  <si>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</si>
  <si>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</si>
  <si>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</si>
  <si>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</si>
  <si>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</si>
  <si>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</si>
  <si>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</si>
  <si>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</si>
  <si>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</si>
  <si>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</si>
  <si>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</si>
  <si>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</si>
  <si>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</si>
  <si>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</si>
  <si>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</si>
  <si>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</si>
  <si>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</si>
  <si>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</si>
  <si>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</si>
  <si>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</si>
  <si>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Источник ценовой информации: проектно-сметная документация  по объекту  «Техническое перевооружение ПС-41 "Олонец"»</t>
  </si>
  <si>
    <t xml:space="preserve">«Техническое перевооружение ПС-41 "Олонец"»  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</si>
  <si>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</si>
  <si>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</si>
  <si>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</si>
  <si>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</si>
  <si>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</si>
  <si>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</si>
  <si>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</si>
  <si>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</si>
  <si>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</si>
  <si>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</si>
  <si>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</si>
  <si>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</si>
  <si>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</si>
  <si>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</si>
  <si>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</si>
  <si>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</si>
  <si>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</si>
  <si>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</si>
  <si>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</si>
  <si>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</si>
  <si>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</si>
  <si>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</si>
  <si>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</si>
  <si>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</si>
  <si>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</si>
  <si>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</si>
  <si>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</si>
  <si>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</si>
  <si>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</si>
  <si>
    <t>Создание системы пожарной сигнализации Летнереченского участка по обслуживанию распредсетей - 1 система</t>
  </si>
  <si>
    <t>M_000-32-1-06.10-0004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</si>
</sst>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#,##0.00000_ ;\-#,##0.00000\ "/>
    <numFmt numFmtId="176" formatCode="_-* #,##0.00000\ _₽_-;\-* #,##0.00000\ _₽_-;_-* &quot;-&quot;??\ _₽_-;_-@_-"/>
    <numFmt numFmtId="177" formatCode="#,##0.00000"/>
    <numFmt numFmtId="178" formatCode="_-* #,##0.000\ _₽_-;\-* #,##0.000\ _₽_-;_-* &quot;-&quot;??\ _₽_-;_-@_-"/>
    <numFmt numFmtId="179" formatCode="_-* #,##0.00000\ _₽_-;\-* #,##0.00000\ _₽_-;_-* &quot;-&quot;??????\ _₽_-;_-@_-"/>
    <numFmt numFmtId="180" formatCode="_-* #,##0.00000\ _₽_-;\-* #,##0.00000\ _₽_-;_-* &quot;-&quot;?????\ _₽_-;_-@_-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1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1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9" fillId="0" borderId="1" xfId="0" applyNumberFormat="1" applyFont="1" applyBorder="1" applyAlignment="1">
      <alignment horizontal="right" vertical="top"/>
    </xf>
    <xf numFmtId="172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3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4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4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4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8" fontId="53" fillId="0" borderId="1" xfId="21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9" fillId="0" borderId="1" xfId="0" applyNumberFormat="1" applyFont="1" applyBorder="1" applyAlignment="1">
      <alignment horizontal="center" vertical="center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8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2" fontId="69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175" fontId="35" fillId="0" borderId="11" xfId="2840" applyNumberFormat="1" applyFont="1" applyFill="1" applyBorder="1" applyAlignment="1">
      <alignment horizontal="right" vertical="center" wrapText="1"/>
    </xf>
    <xf numFmtId="175" fontId="35" fillId="0" borderId="16" xfId="2840" applyNumberFormat="1" applyFont="1" applyFill="1" applyBorder="1" applyAlignment="1">
      <alignment horizontal="right" vertical="center" wrapText="1"/>
    </xf>
    <xf numFmtId="175" fontId="35" fillId="0" borderId="13" xfId="2840" applyNumberFormat="1" applyFont="1" applyFill="1" applyBorder="1" applyAlignment="1">
      <alignment horizontal="right" vertical="center" wrapText="1"/>
    </xf>
    <xf numFmtId="175" fontId="35" fillId="15" borderId="11" xfId="2840" applyNumberFormat="1" applyFont="1" applyFill="1" applyBorder="1" applyAlignment="1">
      <alignment horizontal="right" vertical="center" wrapText="1"/>
    </xf>
    <xf numFmtId="0" fontId="1" fillId="0" borderId="0" xfId="2984">
      <protection locked="0"/>
    </xf>
    <xf numFmtId="176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0" fillId="0" borderId="0" xfId="2984" applyFont="1" applyAlignment="1">
      <alignment vertical="center"/>
      <protection locked="0"/>
    </xf>
    <xf numFmtId="0" fontId="70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0" fillId="0" borderId="0" xfId="2984" applyFont="1" applyAlignment="1">
      <alignment horizontal="right" vertical="center"/>
      <protection locked="0"/>
    </xf>
    <xf numFmtId="0" fontId="70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1" fillId="0" borderId="29" xfId="2984" applyFont="1" applyBorder="1" applyAlignment="1">
      <alignment horizontal="center" vertical="center" wrapText="1"/>
      <protection locked="0"/>
    </xf>
    <xf numFmtId="0" fontId="71" fillId="0" borderId="30" xfId="2984" applyFont="1" applyBorder="1" applyAlignment="1">
      <alignment horizontal="center" vertical="center" wrapText="1"/>
      <protection locked="0"/>
    </xf>
    <xf numFmtId="0" fontId="71" fillId="0" borderId="31" xfId="2984" applyFont="1" applyBorder="1" applyAlignment="1">
      <alignment horizontal="center" vertical="center" wrapText="1"/>
      <protection locked="0"/>
    </xf>
    <xf numFmtId="0" fontId="71" fillId="0" borderId="32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72" fillId="0" borderId="35" xfId="2984" applyFont="1" applyBorder="1" applyAlignment="1">
      <alignment horizontal="center" vertical="center" wrapText="1"/>
      <protection locked="0"/>
    </xf>
    <xf numFmtId="0" fontId="72" fillId="0" borderId="36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2" fillId="0" borderId="37" xfId="2984" applyFont="1" applyBorder="1" applyAlignment="1">
      <alignment horizontal="center" vertical="center" wrapText="1"/>
      <protection locked="0"/>
    </xf>
    <xf numFmtId="0" fontId="71" fillId="0" borderId="33" xfId="2984" applyFont="1" applyBorder="1" applyAlignment="1">
      <alignment horizontal="center" vertical="center" wrapText="1"/>
      <protection locked="0"/>
    </xf>
    <xf numFmtId="0" fontId="71" fillId="0" borderId="34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3" fillId="0" borderId="0" xfId="2984" applyFont="1">
      <protection locked="0"/>
    </xf>
    <xf numFmtId="0" fontId="71" fillId="0" borderId="38" xfId="2984" applyFont="1" applyBorder="1" applyAlignment="1">
      <alignment horizontal="center" vertical="center" wrapText="1"/>
      <protection locked="0"/>
    </xf>
    <xf numFmtId="0" fontId="71" fillId="0" borderId="39" xfId="2984" applyFont="1" applyBorder="1" applyAlignment="1">
      <alignment horizontal="center" vertical="center" wrapText="1"/>
      <protection locked="0"/>
    </xf>
    <xf numFmtId="0" fontId="71" fillId="0" borderId="40" xfId="2984" applyFont="1" applyBorder="1" applyAlignment="1">
      <alignment horizontal="center" vertical="center" wrapText="1"/>
      <protection locked="0"/>
    </xf>
    <xf numFmtId="0" fontId="71" fillId="0" borderId="4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20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1" fillId="0" borderId="1" xfId="2984" applyFont="1" applyBorder="1" applyAlignment="1">
      <alignment horizontal="center" vertical="center" wrapText="1"/>
      <protection locked="0"/>
    </xf>
    <xf numFmtId="0" fontId="71" fillId="0" borderId="42" xfId="2984" applyFont="1" applyBorder="1" applyAlignment="1">
      <alignment horizontal="center" vertical="center" wrapText="1"/>
      <protection locked="0"/>
    </xf>
    <xf numFmtId="0" fontId="72" fillId="0" borderId="43" xfId="2984" applyFont="1" applyBorder="1" applyAlignment="1">
      <alignment horizontal="center" vertical="center" wrapText="1"/>
      <protection locked="0"/>
    </xf>
    <xf numFmtId="0" fontId="72" fillId="0" borderId="15" xfId="2984" applyFont="1" applyBorder="1" applyAlignment="1">
      <alignment horizontal="center" vertical="center" wrapText="1"/>
      <protection locked="0"/>
    </xf>
    <xf numFmtId="0" fontId="72" fillId="0" borderId="44" xfId="2984" applyFont="1" applyBorder="1" applyAlignment="1">
      <alignment horizontal="center" vertical="center" wrapText="1"/>
      <protection locked="0"/>
    </xf>
    <xf numFmtId="0" fontId="71" fillId="0" borderId="45" xfId="2984" applyFont="1" applyBorder="1" applyAlignment="1">
      <alignment horizontal="center" vertical="center" wrapText="1"/>
      <protection locked="0"/>
    </xf>
    <xf numFmtId="0" fontId="71" fillId="0" borderId="23" xfId="2984" applyFont="1" applyBorder="1" applyAlignment="1">
      <alignment horizontal="center" vertical="center" wrapText="1"/>
      <protection locked="0"/>
    </xf>
    <xf numFmtId="0" fontId="71" fillId="0" borderId="46" xfId="2984" applyFont="1" applyBorder="1" applyAlignment="1">
      <alignment horizontal="center" vertical="center" wrapText="1"/>
      <protection locked="0"/>
    </xf>
    <xf numFmtId="0" fontId="72" fillId="0" borderId="47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1" fillId="0" borderId="41" xfId="2984" applyFont="1" applyBorder="1" applyAlignment="1">
      <alignment horizontal="center" vertical="center" wrapText="1"/>
      <protection locked="0"/>
    </xf>
    <xf numFmtId="0" fontId="71" fillId="0" borderId="1" xfId="2984" applyFont="1" applyBorder="1" applyAlignment="1">
      <alignment horizontal="center" vertical="center" wrapText="1"/>
      <protection locked="0"/>
    </xf>
    <xf numFmtId="0" fontId="71" fillId="0" borderId="42" xfId="2984" applyFont="1" applyBorder="1" applyAlignment="1">
      <alignment horizontal="center" vertical="center" wrapText="1"/>
      <protection locked="0"/>
    </xf>
    <xf numFmtId="0" fontId="71" fillId="0" borderId="22" xfId="2984" applyFont="1" applyBorder="1" applyAlignment="1">
      <alignment horizontal="center" vertical="center" wrapText="1"/>
      <protection locked="0"/>
    </xf>
    <xf numFmtId="0" fontId="71" fillId="0" borderId="21" xfId="2984" applyFont="1" applyBorder="1" applyAlignment="1">
      <alignment horizontal="center" vertical="center" wrapText="1"/>
      <protection locked="0"/>
    </xf>
    <xf numFmtId="0" fontId="74" fillId="0" borderId="48" xfId="2984" applyFont="1" applyBorder="1" applyAlignment="1">
      <alignment horizontal="center" vertical="center" wrapText="1"/>
      <protection locked="0"/>
    </xf>
    <xf numFmtId="0" fontId="74" fillId="0" borderId="49" xfId="2984" applyFont="1" applyBorder="1" applyAlignment="1">
      <alignment horizontal="center" vertical="center" wrapText="1"/>
      <protection locked="0"/>
    </xf>
    <xf numFmtId="0" fontId="74" fillId="0" borderId="50" xfId="2984" applyFont="1" applyBorder="1" applyAlignment="1">
      <alignment horizontal="center" vertical="center" wrapText="1"/>
      <protection locked="0"/>
    </xf>
    <xf numFmtId="177" fontId="74" fillId="0" borderId="48" xfId="2984" applyNumberFormat="1" applyFont="1" applyBorder="1" applyAlignment="1">
      <alignment horizontal="right" vertical="center" wrapText="1"/>
      <protection locked="0"/>
    </xf>
    <xf numFmtId="177" fontId="74" fillId="0" borderId="49" xfId="2984" applyNumberFormat="1" applyFont="1" applyBorder="1" applyAlignment="1">
      <alignment horizontal="right" vertical="center" wrapText="1"/>
      <protection locked="0"/>
    </xf>
    <xf numFmtId="177" fontId="74" fillId="0" borderId="50" xfId="2984" applyNumberFormat="1" applyFont="1" applyBorder="1" applyAlignment="1">
      <alignment horizontal="right" vertical="center" wrapText="1"/>
      <protection locked="0"/>
    </xf>
    <xf numFmtId="177" fontId="74" fillId="0" borderId="51" xfId="2984" applyNumberFormat="1" applyFont="1" applyBorder="1" applyAlignment="1">
      <alignment horizontal="right" vertical="center" wrapText="1"/>
      <protection locked="0"/>
    </xf>
    <xf numFmtId="177" fontId="74" fillId="0" borderId="52" xfId="2984" applyNumberFormat="1" applyFont="1" applyBorder="1" applyAlignment="1">
      <alignment horizontal="right" vertical="center" wrapText="1"/>
      <protection locked="0"/>
    </xf>
    <xf numFmtId="177" fontId="71" fillId="0" borderId="48" xfId="2984" applyNumberFormat="1" applyFont="1" applyBorder="1" applyAlignment="1">
      <alignment horizontal="right" vertical="center" wrapText="1"/>
      <protection locked="0"/>
    </xf>
    <xf numFmtId="178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79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80" fontId="1" fillId="0" borderId="0" xfId="2984" applyNumberFormat="1">
      <protection locked="0"/>
    </xf>
    <xf numFmtId="177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0EEF1AC3-1FCB-4FCE-9CD8-E926BF20FB7A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6.10-0003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ogle%20Drive\&#1044;&#1083;&#1103;%20&#1052;&#1072;&#1088;&#1080;&#1085;&#1099;\&#1056;&#1072;&#1079;&#1085;&#1099;&#1077;%20&#1089;&#1084;&#1077;&#1090;&#1099;\&#1058;&#1093;&#1069;&#1057;%20&#1088;&#1072;&#1089;&#1095;&#1077;&#1090;%20&#1079;&#1072;&#1103;&#1074;&#1086;&#1082;\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C28"/>
  <sheetViews>
    <sheetView tabSelected="1" workbookViewId="0">
      <selection activeCell="A8" sqref="A8:C8"/>
    </sheetView>
  </sheetViews>
  <sheetFormatPr defaultRowHeight="12.5" x14ac:dyDescent="0.25"/>
  <cols>
    <col min="1" max="1" width="24.7265625" customWidth="1"/>
    <col min="2" max="2" width="39.7265625" customWidth="1"/>
    <col min="3" max="3" width="40.54296875" customWidth="1"/>
  </cols>
  <sheetData>
    <row r="4" spans="1:3" ht="14.5" x14ac:dyDescent="0.25">
      <c r="A4" s="178"/>
      <c r="B4" s="178"/>
      <c r="C4" s="178"/>
    </row>
    <row r="5" spans="1:3" ht="15.5" x14ac:dyDescent="0.25">
      <c r="A5" s="17"/>
      <c r="B5" s="17"/>
      <c r="C5" s="17"/>
    </row>
    <row r="6" spans="1:3" ht="15.5" x14ac:dyDescent="0.25">
      <c r="A6" s="176" t="s">
        <v>32</v>
      </c>
      <c r="B6" s="176"/>
      <c r="C6" s="176"/>
    </row>
    <row r="7" spans="1:3" ht="15.5" x14ac:dyDescent="0.25">
      <c r="A7" s="17"/>
      <c r="B7" s="24" t="s">
        <v>111</v>
      </c>
      <c r="C7" s="24" t="s">
        <v>282</v>
      </c>
    </row>
    <row r="8" spans="1:3" ht="36" customHeight="1" x14ac:dyDescent="0.25">
      <c r="A8" s="175" t="s">
        <v>281</v>
      </c>
      <c r="B8" s="175"/>
      <c r="C8" s="175"/>
    </row>
    <row r="9" spans="1:3" ht="15" customHeight="1" x14ac:dyDescent="0.25">
      <c r="A9" s="177" t="s">
        <v>10</v>
      </c>
      <c r="B9" s="177"/>
      <c r="C9" s="177"/>
    </row>
    <row r="10" spans="1:3" ht="15.5" x14ac:dyDescent="0.25">
      <c r="A10" s="17"/>
      <c r="B10" s="17"/>
      <c r="C10" s="17"/>
    </row>
    <row r="11" spans="1:3" ht="15.5" x14ac:dyDescent="0.25">
      <c r="A11" s="17"/>
      <c r="B11" s="17"/>
      <c r="C11" s="17"/>
    </row>
    <row r="12" spans="1:3" ht="28" x14ac:dyDescent="0.25">
      <c r="A12" s="22" t="s">
        <v>0</v>
      </c>
      <c r="B12" s="22" t="s">
        <v>31</v>
      </c>
      <c r="C12" s="22" t="s">
        <v>30</v>
      </c>
    </row>
    <row r="13" spans="1:3" ht="14" x14ac:dyDescent="0.25">
      <c r="A13" s="22">
        <v>1</v>
      </c>
      <c r="B13" s="22">
        <v>2</v>
      </c>
      <c r="C13" s="22">
        <v>3</v>
      </c>
    </row>
    <row r="14" spans="1:3" x14ac:dyDescent="0.25">
      <c r="A14" s="19">
        <v>1</v>
      </c>
      <c r="B14" s="18" t="s">
        <v>29</v>
      </c>
      <c r="C14" s="21"/>
    </row>
    <row r="15" spans="1:3" x14ac:dyDescent="0.25">
      <c r="A15" s="19">
        <v>1.1000000000000001</v>
      </c>
      <c r="B15" s="20" t="s">
        <v>28</v>
      </c>
      <c r="C15" s="247">
        <f>'ССР 4 кв. 2015 '!D97</f>
        <v>80.304482077586172</v>
      </c>
    </row>
    <row r="16" spans="1:3" x14ac:dyDescent="0.25">
      <c r="A16" s="19">
        <v>1.2</v>
      </c>
      <c r="B16" s="18" t="s">
        <v>27</v>
      </c>
      <c r="C16" s="248">
        <f>'ССР 4 кв. 2015 '!F97</f>
        <v>13.881085315192745</v>
      </c>
    </row>
    <row r="17" spans="1:3" x14ac:dyDescent="0.25">
      <c r="A17" s="19">
        <v>1.3</v>
      </c>
      <c r="B17" s="18" t="s">
        <v>26</v>
      </c>
      <c r="C17" s="247">
        <f>'ССР 4 кв. 2015 '!H91</f>
        <v>4.653107191934585</v>
      </c>
    </row>
    <row r="18" spans="1:3" x14ac:dyDescent="0.25">
      <c r="A18" s="19">
        <v>1.4</v>
      </c>
      <c r="B18" s="18" t="s">
        <v>25</v>
      </c>
      <c r="C18" s="247">
        <f>'ССР 4 кв. 2015 '!G97-C17</f>
        <v>5.1054118573240936</v>
      </c>
    </row>
    <row r="19" spans="1:3" ht="19.899999999999999" customHeight="1" x14ac:dyDescent="0.25">
      <c r="A19" s="19"/>
      <c r="B19" s="18" t="s">
        <v>249</v>
      </c>
      <c r="C19" s="249">
        <f>SUM(C15:C18)</f>
        <v>103.9440864420376</v>
      </c>
    </row>
    <row r="20" spans="1:3" ht="31.5" hidden="1" x14ac:dyDescent="0.25">
      <c r="A20" s="19"/>
      <c r="B20" s="46" t="s">
        <v>201</v>
      </c>
      <c r="C20" s="45">
        <v>1</v>
      </c>
    </row>
    <row r="21" spans="1:3" ht="23" hidden="1" x14ac:dyDescent="0.25">
      <c r="A21" s="19"/>
      <c r="B21" s="18" t="s">
        <v>199</v>
      </c>
      <c r="C21" s="69">
        <f>C19*C20</f>
        <v>103.9440864420376</v>
      </c>
    </row>
    <row r="22" spans="1:3" ht="21" x14ac:dyDescent="0.25">
      <c r="A22" s="19"/>
      <c r="B22" s="46" t="s">
        <v>200</v>
      </c>
      <c r="C22" s="173">
        <f>1.063*1.037*1.053*1.068*1.056*1.054*(1+1.051)/2</f>
        <v>1.4149850083459807</v>
      </c>
    </row>
    <row r="23" spans="1:3" ht="23" x14ac:dyDescent="0.25">
      <c r="A23" s="19"/>
      <c r="B23" s="18" t="s">
        <v>57</v>
      </c>
      <c r="C23" s="248">
        <f>ROUND(C19*C22,5)+0.00001</f>
        <v>147.07933</v>
      </c>
    </row>
    <row r="24" spans="1:3" x14ac:dyDescent="0.25">
      <c r="A24" s="19">
        <v>2</v>
      </c>
      <c r="B24" s="18" t="s">
        <v>24</v>
      </c>
      <c r="C24" s="247">
        <f>C23</f>
        <v>147.07933</v>
      </c>
    </row>
    <row r="25" spans="1:3" x14ac:dyDescent="0.25">
      <c r="A25" s="19">
        <v>2.1</v>
      </c>
      <c r="B25" s="18" t="s">
        <v>23</v>
      </c>
      <c r="C25" s="247">
        <f>C24*0.2</f>
        <v>29.415866000000001</v>
      </c>
    </row>
    <row r="26" spans="1:3" ht="23" x14ac:dyDescent="0.25">
      <c r="A26" s="19">
        <v>3</v>
      </c>
      <c r="B26" s="18" t="s">
        <v>58</v>
      </c>
      <c r="C26" s="250">
        <f>C24+C25</f>
        <v>176.49519599999999</v>
      </c>
    </row>
    <row r="27" spans="1:3" ht="15.5" x14ac:dyDescent="0.25">
      <c r="A27" s="17"/>
      <c r="B27" s="16"/>
      <c r="C27" s="17"/>
    </row>
    <row r="28" spans="1:3" ht="24" customHeight="1" x14ac:dyDescent="0.25">
      <c r="A28" s="174" t="s">
        <v>22</v>
      </c>
      <c r="B28" s="174"/>
      <c r="C28" s="174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BA028-A302-4035-A537-6B263618B845}">
  <dimension ref="A1:AI22"/>
  <sheetViews>
    <sheetView zoomScale="85" zoomScaleNormal="85" workbookViewId="0">
      <selection activeCell="T9" sqref="T9"/>
    </sheetView>
  </sheetViews>
  <sheetFormatPr defaultColWidth="9.1796875" defaultRowHeight="14.5" x14ac:dyDescent="0.35"/>
  <cols>
    <col min="1" max="1" width="15.453125" style="251" customWidth="1"/>
    <col min="2" max="2" width="40.7265625" style="251" customWidth="1"/>
    <col min="3" max="3" width="25.54296875" style="251" customWidth="1"/>
    <col min="4" max="8" width="15.81640625" style="251" customWidth="1"/>
    <col min="9" max="11" width="14.1796875" style="251" customWidth="1"/>
    <col min="12" max="17" width="15.81640625" style="251" customWidth="1"/>
    <col min="18" max="18" width="14.7265625" style="251" customWidth="1"/>
    <col min="19" max="20" width="15.81640625" style="251" customWidth="1"/>
    <col min="21" max="21" width="15.1796875" style="251" customWidth="1"/>
    <col min="22" max="22" width="14.81640625" style="251" customWidth="1"/>
    <col min="23" max="23" width="15.81640625" style="251" customWidth="1"/>
    <col min="24" max="24" width="11.54296875" style="251" customWidth="1"/>
    <col min="25" max="25" width="14.453125" style="251" customWidth="1"/>
    <col min="26" max="16384" width="9.1796875" style="251"/>
  </cols>
  <sheetData>
    <row r="1" spans="1:35" x14ac:dyDescent="0.35">
      <c r="X1" s="252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1:35" s="255" customFormat="1" ht="59.25" customHeight="1" x14ac:dyDescent="0.3">
      <c r="A2" s="254"/>
      <c r="C2" s="256"/>
      <c r="F2" s="257" t="s">
        <v>252</v>
      </c>
      <c r="G2" s="254" t="str">
        <f>C9</f>
        <v>M_000-32-1-06.10-0004</v>
      </c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</row>
    <row r="3" spans="1:35" ht="15" thickBot="1" x14ac:dyDescent="0.4">
      <c r="L3" s="259"/>
      <c r="M3" s="259"/>
      <c r="N3" s="259"/>
      <c r="O3" s="259"/>
      <c r="P3" s="259"/>
      <c r="Q3" s="259"/>
      <c r="R3" s="260"/>
      <c r="S3" s="260"/>
      <c r="T3" s="260"/>
      <c r="U3" s="260"/>
      <c r="V3" s="260"/>
      <c r="W3" s="260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</row>
    <row r="4" spans="1:35" s="274" customFormat="1" ht="35.25" customHeight="1" x14ac:dyDescent="0.35">
      <c r="A4" s="261" t="s">
        <v>253</v>
      </c>
      <c r="B4" s="262" t="s">
        <v>254</v>
      </c>
      <c r="C4" s="263" t="s">
        <v>255</v>
      </c>
      <c r="D4" s="264" t="s">
        <v>256</v>
      </c>
      <c r="E4" s="265" t="s">
        <v>257</v>
      </c>
      <c r="F4" s="265"/>
      <c r="G4" s="265"/>
      <c r="H4" s="266"/>
      <c r="I4" s="267" t="s">
        <v>258</v>
      </c>
      <c r="J4" s="267"/>
      <c r="K4" s="268"/>
      <c r="L4" s="269" t="s">
        <v>259</v>
      </c>
      <c r="M4" s="265"/>
      <c r="N4" s="265"/>
      <c r="O4" s="265"/>
      <c r="P4" s="265"/>
      <c r="Q4" s="270"/>
      <c r="R4" s="264" t="s">
        <v>260</v>
      </c>
      <c r="S4" s="271" t="s">
        <v>261</v>
      </c>
      <c r="T4" s="271" t="s">
        <v>262</v>
      </c>
      <c r="U4" s="271" t="s">
        <v>263</v>
      </c>
      <c r="V4" s="271" t="s">
        <v>264</v>
      </c>
      <c r="W4" s="272" t="s">
        <v>265</v>
      </c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</row>
    <row r="5" spans="1:35" s="274" customFormat="1" ht="35.25" customHeight="1" x14ac:dyDescent="0.35">
      <c r="A5" s="275"/>
      <c r="B5" s="276"/>
      <c r="C5" s="277"/>
      <c r="D5" s="278"/>
      <c r="E5" s="279" t="s">
        <v>266</v>
      </c>
      <c r="F5" s="279" t="s">
        <v>267</v>
      </c>
      <c r="G5" s="279" t="s">
        <v>268</v>
      </c>
      <c r="H5" s="280" t="s">
        <v>269</v>
      </c>
      <c r="I5" s="281" t="s">
        <v>270</v>
      </c>
      <c r="J5" s="281"/>
      <c r="K5" s="282" t="s">
        <v>271</v>
      </c>
      <c r="L5" s="283" t="s">
        <v>272</v>
      </c>
      <c r="M5" s="279"/>
      <c r="N5" s="279"/>
      <c r="O5" s="279" t="s">
        <v>271</v>
      </c>
      <c r="P5" s="279"/>
      <c r="Q5" s="284"/>
      <c r="R5" s="278"/>
      <c r="S5" s="285"/>
      <c r="T5" s="285"/>
      <c r="U5" s="285"/>
      <c r="V5" s="285"/>
      <c r="W5" s="286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</row>
    <row r="6" spans="1:35" s="274" customFormat="1" ht="74.25" customHeight="1" x14ac:dyDescent="0.35">
      <c r="A6" s="275"/>
      <c r="B6" s="276"/>
      <c r="C6" s="277"/>
      <c r="D6" s="278"/>
      <c r="E6" s="279"/>
      <c r="F6" s="279"/>
      <c r="G6" s="279"/>
      <c r="H6" s="280"/>
      <c r="I6" s="287" t="s">
        <v>273</v>
      </c>
      <c r="J6" s="288" t="s">
        <v>274</v>
      </c>
      <c r="K6" s="289" t="s">
        <v>274</v>
      </c>
      <c r="L6" s="283" t="s">
        <v>275</v>
      </c>
      <c r="M6" s="279" t="s">
        <v>276</v>
      </c>
      <c r="N6" s="288" t="s">
        <v>277</v>
      </c>
      <c r="O6" s="279" t="s">
        <v>278</v>
      </c>
      <c r="P6" s="279" t="s">
        <v>276</v>
      </c>
      <c r="Q6" s="288" t="s">
        <v>277</v>
      </c>
      <c r="R6" s="278"/>
      <c r="S6" s="285"/>
      <c r="T6" s="285"/>
      <c r="U6" s="285"/>
      <c r="V6" s="285"/>
      <c r="W6" s="286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</row>
    <row r="7" spans="1:35" s="274" customFormat="1" ht="35.25" customHeight="1" x14ac:dyDescent="0.35">
      <c r="A7" s="290"/>
      <c r="B7" s="291"/>
      <c r="C7" s="292"/>
      <c r="D7" s="278"/>
      <c r="E7" s="279"/>
      <c r="F7" s="279"/>
      <c r="G7" s="279"/>
      <c r="H7" s="280"/>
      <c r="I7" s="293"/>
      <c r="J7" s="294"/>
      <c r="K7" s="295"/>
      <c r="L7" s="283"/>
      <c r="M7" s="279"/>
      <c r="N7" s="294"/>
      <c r="O7" s="279"/>
      <c r="P7" s="279"/>
      <c r="Q7" s="294"/>
      <c r="R7" s="278"/>
      <c r="S7" s="285"/>
      <c r="T7" s="285"/>
      <c r="U7" s="285"/>
      <c r="V7" s="285"/>
      <c r="W7" s="286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</row>
    <row r="8" spans="1:35" s="274" customFormat="1" x14ac:dyDescent="0.35">
      <c r="A8" s="296">
        <v>1</v>
      </c>
      <c r="B8" s="297">
        <v>2</v>
      </c>
      <c r="C8" s="298">
        <v>3</v>
      </c>
      <c r="D8" s="296">
        <v>4</v>
      </c>
      <c r="E8" s="297">
        <v>5</v>
      </c>
      <c r="F8" s="297">
        <v>6</v>
      </c>
      <c r="G8" s="297">
        <v>7</v>
      </c>
      <c r="H8" s="298">
        <v>8</v>
      </c>
      <c r="I8" s="299">
        <v>9</v>
      </c>
      <c r="J8" s="297">
        <v>10</v>
      </c>
      <c r="K8" s="298">
        <v>11</v>
      </c>
      <c r="L8" s="296">
        <v>12</v>
      </c>
      <c r="M8" s="297">
        <v>13</v>
      </c>
      <c r="N8" s="297">
        <v>14</v>
      </c>
      <c r="O8" s="297">
        <v>15</v>
      </c>
      <c r="P8" s="297">
        <v>16</v>
      </c>
      <c r="Q8" s="300">
        <v>17</v>
      </c>
      <c r="R8" s="296">
        <v>18</v>
      </c>
      <c r="S8" s="297">
        <v>19</v>
      </c>
      <c r="T8" s="297">
        <v>20</v>
      </c>
      <c r="U8" s="297">
        <v>21</v>
      </c>
      <c r="V8" s="297">
        <v>22</v>
      </c>
      <c r="W8" s="298">
        <v>23</v>
      </c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</row>
    <row r="9" spans="1:35" ht="105.75" customHeight="1" thickBot="1" x14ac:dyDescent="0.4">
      <c r="A9" s="301">
        <v>2023</v>
      </c>
      <c r="B9" s="302" t="s">
        <v>281</v>
      </c>
      <c r="C9" s="303" t="s">
        <v>282</v>
      </c>
      <c r="D9" s="304">
        <v>147.07932999999997</v>
      </c>
      <c r="E9" s="305">
        <v>6.5840800000000002</v>
      </c>
      <c r="F9" s="305">
        <v>113.62963999999999</v>
      </c>
      <c r="G9" s="305">
        <v>19.641529999999999</v>
      </c>
      <c r="H9" s="306">
        <v>7.2240799999999998</v>
      </c>
      <c r="I9" s="307"/>
      <c r="J9" s="305"/>
      <c r="K9" s="306">
        <f>176.4445/1.2</f>
        <v>147.03708333333336</v>
      </c>
      <c r="L9" s="304"/>
      <c r="M9" s="305">
        <v>4.2250000000000003E-2</v>
      </c>
      <c r="N9" s="305"/>
      <c r="O9" s="305"/>
      <c r="P9" s="305"/>
      <c r="Q9" s="308"/>
      <c r="R9" s="309">
        <f>(J9+K9)*1.2+SUM(L9:N9)</f>
        <v>176.48675000000003</v>
      </c>
      <c r="S9" s="305"/>
      <c r="T9" s="305">
        <f>J9*1.2</f>
        <v>0</v>
      </c>
      <c r="U9" s="305">
        <f>SUM(L9:N9)</f>
        <v>4.2250000000000003E-2</v>
      </c>
      <c r="V9" s="305"/>
      <c r="W9" s="306">
        <f>R9-T9-U9</f>
        <v>176.44450000000003</v>
      </c>
      <c r="X9" s="310"/>
      <c r="Y9" s="311"/>
      <c r="Z9" s="312"/>
      <c r="AA9" s="253"/>
      <c r="AB9" s="253"/>
      <c r="AC9" s="253"/>
      <c r="AD9" s="253"/>
      <c r="AE9" s="253"/>
      <c r="AF9" s="253"/>
      <c r="AG9" s="253"/>
      <c r="AH9" s="253"/>
      <c r="AI9" s="253"/>
    </row>
    <row r="10" spans="1:35" x14ac:dyDescent="0.35">
      <c r="X10" s="253"/>
      <c r="Y10" s="253"/>
      <c r="Z10" s="253"/>
      <c r="AA10" s="253"/>
      <c r="AB10" s="253"/>
      <c r="AC10" s="253"/>
      <c r="AD10" s="253"/>
      <c r="AE10" s="253"/>
      <c r="AF10" s="253"/>
      <c r="AG10" s="253"/>
      <c r="AH10" s="253"/>
      <c r="AI10" s="253"/>
    </row>
    <row r="11" spans="1:35" x14ac:dyDescent="0.35">
      <c r="B11" s="313" t="s">
        <v>279</v>
      </c>
      <c r="C11" s="313"/>
      <c r="D11" s="260" t="s">
        <v>280</v>
      </c>
      <c r="E11" s="260"/>
      <c r="F11" s="260"/>
      <c r="G11" s="260"/>
      <c r="H11" s="260"/>
      <c r="I11" s="260"/>
      <c r="J11" s="260"/>
      <c r="K11" s="260"/>
      <c r="L11" s="314"/>
      <c r="M11" s="315"/>
      <c r="N11" s="315"/>
      <c r="R11" s="315"/>
      <c r="X11" s="253"/>
      <c r="Y11" s="253"/>
      <c r="Z11" s="253"/>
      <c r="AA11" s="253"/>
      <c r="AB11" s="253"/>
      <c r="AC11" s="253"/>
      <c r="AD11" s="253"/>
      <c r="AE11" s="253"/>
      <c r="AF11" s="253"/>
      <c r="AG11" s="253"/>
      <c r="AH11" s="253"/>
      <c r="AI11" s="253"/>
    </row>
    <row r="12" spans="1:35" x14ac:dyDescent="0.35">
      <c r="B12" s="316"/>
      <c r="D12" s="317"/>
      <c r="E12" s="317"/>
      <c r="F12" s="317"/>
      <c r="G12" s="317"/>
      <c r="H12" s="317"/>
      <c r="I12" s="317"/>
      <c r="J12" s="317"/>
      <c r="K12" s="317"/>
      <c r="R12" s="318"/>
      <c r="U12" s="319"/>
      <c r="X12" s="253"/>
      <c r="Y12" s="253"/>
      <c r="Z12" s="253"/>
      <c r="AA12" s="253"/>
      <c r="AB12" s="253"/>
      <c r="AC12" s="253"/>
      <c r="AD12" s="253"/>
      <c r="AE12" s="253"/>
      <c r="AF12" s="253"/>
      <c r="AG12" s="253"/>
      <c r="AH12" s="253"/>
      <c r="AI12" s="253"/>
    </row>
    <row r="13" spans="1:35" x14ac:dyDescent="0.35">
      <c r="D13" s="316"/>
      <c r="E13" s="316"/>
      <c r="F13" s="316"/>
      <c r="G13" s="316"/>
      <c r="H13" s="316"/>
      <c r="I13" s="316"/>
      <c r="J13" s="316"/>
      <c r="K13" s="316"/>
      <c r="R13" s="318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</row>
    <row r="14" spans="1:35" x14ac:dyDescent="0.35"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</row>
    <row r="15" spans="1:35" x14ac:dyDescent="0.35"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</row>
    <row r="16" spans="1:35" x14ac:dyDescent="0.35"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</row>
    <row r="17" spans="3:35" x14ac:dyDescent="0.35">
      <c r="X17" s="253"/>
      <c r="Y17" s="253"/>
      <c r="Z17" s="253"/>
      <c r="AA17" s="253"/>
      <c r="AB17" s="253"/>
      <c r="AC17" s="253"/>
      <c r="AD17" s="253"/>
      <c r="AE17" s="253"/>
      <c r="AF17" s="253"/>
      <c r="AG17" s="253"/>
      <c r="AH17" s="253"/>
      <c r="AI17" s="253"/>
    </row>
    <row r="18" spans="3:35" x14ac:dyDescent="0.35">
      <c r="D18" s="314"/>
      <c r="E18" s="314"/>
      <c r="F18" s="314"/>
      <c r="G18" s="314"/>
      <c r="H18" s="314"/>
      <c r="I18" s="314"/>
      <c r="J18" s="314"/>
      <c r="K18" s="314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</row>
    <row r="19" spans="3:35" x14ac:dyDescent="0.35"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</row>
    <row r="20" spans="3:35" x14ac:dyDescent="0.35"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</row>
    <row r="21" spans="3:35" x14ac:dyDescent="0.35">
      <c r="C21" s="320"/>
      <c r="X21" s="253"/>
      <c r="Y21" s="253"/>
      <c r="Z21" s="253"/>
      <c r="AA21" s="253"/>
      <c r="AB21" s="253"/>
      <c r="AC21" s="253"/>
      <c r="AD21" s="253"/>
      <c r="AE21" s="253"/>
      <c r="AF21" s="253"/>
      <c r="AG21" s="253"/>
      <c r="AH21" s="253"/>
      <c r="AI21" s="253"/>
    </row>
    <row r="22" spans="3:35" x14ac:dyDescent="0.35"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17" zoomScaleNormal="100" zoomScaleSheetLayoutView="100" workbookViewId="0">
      <selection activeCell="L13" sqref="L13"/>
    </sheetView>
  </sheetViews>
  <sheetFormatPr defaultRowHeight="12.5" x14ac:dyDescent="0.25"/>
  <cols>
    <col min="1" max="1" width="5.26953125" customWidth="1"/>
    <col min="2" max="2" width="28.81640625" customWidth="1"/>
    <col min="3" max="3" width="40.26953125" customWidth="1"/>
    <col min="4" max="8" width="16.7265625" style="56" customWidth="1"/>
  </cols>
  <sheetData>
    <row r="1" spans="1:21" ht="13" x14ac:dyDescent="0.3">
      <c r="A1" s="48"/>
      <c r="D1" s="49"/>
      <c r="E1" s="49"/>
      <c r="F1" s="49"/>
      <c r="G1" s="49"/>
      <c r="H1" s="50" t="s">
        <v>2</v>
      </c>
    </row>
    <row r="2" spans="1:21" ht="13" x14ac:dyDescent="0.3">
      <c r="C2" s="51"/>
      <c r="D2" s="49"/>
      <c r="E2" s="52"/>
      <c r="F2" s="53"/>
      <c r="G2" s="52"/>
      <c r="H2" s="50"/>
    </row>
    <row r="3" spans="1:21" ht="13" x14ac:dyDescent="0.3">
      <c r="D3" s="49"/>
      <c r="E3" s="52"/>
      <c r="F3" s="53"/>
      <c r="G3" s="52"/>
      <c r="H3" s="50" t="s">
        <v>3</v>
      </c>
    </row>
    <row r="4" spans="1:21" ht="13" x14ac:dyDescent="0.3">
      <c r="B4" s="4"/>
      <c r="C4" s="5"/>
      <c r="D4" s="54"/>
      <c r="E4" s="55"/>
      <c r="F4" s="55"/>
      <c r="G4" s="50"/>
      <c r="H4" s="50" t="s">
        <v>171</v>
      </c>
    </row>
    <row r="5" spans="1:21" ht="13" x14ac:dyDescent="0.3">
      <c r="B5" s="7"/>
      <c r="C5" s="6"/>
      <c r="D5" s="49"/>
      <c r="E5" s="50"/>
      <c r="F5" s="179" t="s">
        <v>100</v>
      </c>
      <c r="G5" s="179"/>
      <c r="H5" s="179"/>
    </row>
    <row r="6" spans="1:21" ht="13" x14ac:dyDescent="0.3">
      <c r="B6" s="2"/>
      <c r="E6" s="179"/>
      <c r="F6" s="179"/>
      <c r="G6" s="179"/>
      <c r="H6" s="179"/>
    </row>
    <row r="7" spans="1:21" ht="13" x14ac:dyDescent="0.3">
      <c r="B7" s="8" t="s">
        <v>12</v>
      </c>
      <c r="C7" s="9"/>
      <c r="D7" s="49"/>
      <c r="E7" s="53"/>
      <c r="F7" s="53"/>
      <c r="G7" s="52"/>
      <c r="H7" s="52"/>
    </row>
    <row r="8" spans="1:21" ht="13" x14ac:dyDescent="0.3">
      <c r="B8" s="10">
        <v>0</v>
      </c>
      <c r="C8" s="11" t="s">
        <v>4</v>
      </c>
      <c r="E8" s="179" t="s">
        <v>172</v>
      </c>
      <c r="F8" s="179"/>
      <c r="G8" s="179"/>
      <c r="H8" s="179"/>
    </row>
    <row r="9" spans="1:21" ht="13" x14ac:dyDescent="0.3">
      <c r="B9" s="10"/>
      <c r="C9" s="11"/>
      <c r="E9" s="50"/>
      <c r="F9" s="50"/>
      <c r="G9" s="50"/>
      <c r="H9" s="50"/>
    </row>
    <row r="10" spans="1:21" ht="13" x14ac:dyDescent="0.25">
      <c r="A10" s="1"/>
      <c r="B10" s="2"/>
      <c r="C10" s="180" t="s">
        <v>60</v>
      </c>
      <c r="D10" s="180"/>
      <c r="E10" s="180"/>
      <c r="F10" s="180"/>
      <c r="G10" s="180"/>
      <c r="H10" s="49"/>
    </row>
    <row r="11" spans="1:21" ht="13" x14ac:dyDescent="0.25">
      <c r="A11" s="1"/>
      <c r="B11" s="2"/>
      <c r="C11" s="6"/>
      <c r="D11" s="57"/>
      <c r="E11" s="12"/>
      <c r="F11" s="49"/>
      <c r="G11" s="49"/>
      <c r="H11" s="49"/>
    </row>
    <row r="12" spans="1:21" ht="58.5" customHeight="1" x14ac:dyDescent="0.25">
      <c r="A12" s="1"/>
      <c r="B12" s="2"/>
      <c r="C12" s="187" t="str">
        <f>'Сводка затрат'!A8</f>
        <v>Создание системы пожарной сигнализации Летнереченского участка по обслуживанию распредсетей - 1 система</v>
      </c>
      <c r="D12" s="187"/>
      <c r="E12" s="187"/>
      <c r="F12" s="187"/>
      <c r="G12" s="187"/>
      <c r="H12" s="49"/>
    </row>
    <row r="13" spans="1:21" ht="13" x14ac:dyDescent="0.25">
      <c r="A13" s="1"/>
      <c r="B13" s="2"/>
      <c r="C13" s="188" t="s">
        <v>10</v>
      </c>
      <c r="D13" s="188"/>
      <c r="E13" s="188"/>
      <c r="F13" s="188"/>
      <c r="G13" s="188"/>
      <c r="H13" s="49"/>
    </row>
    <row r="14" spans="1:21" ht="26.25" customHeight="1" x14ac:dyDescent="0.25">
      <c r="A14" s="1"/>
      <c r="B14" s="189" t="s">
        <v>250</v>
      </c>
      <c r="C14" s="189"/>
      <c r="D14" s="189"/>
      <c r="E14" s="189"/>
      <c r="F14" s="189"/>
      <c r="G14" s="189"/>
      <c r="H14" s="189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20.25" customHeight="1" x14ac:dyDescent="0.3">
      <c r="A15" s="1"/>
      <c r="B15" s="58" t="s">
        <v>170</v>
      </c>
      <c r="C15" s="58" t="s">
        <v>202</v>
      </c>
      <c r="D15" s="57"/>
      <c r="E15" s="49"/>
      <c r="F15" s="49"/>
      <c r="G15" s="49"/>
      <c r="H15" s="49"/>
    </row>
    <row r="16" spans="1:21" ht="13" x14ac:dyDescent="0.25">
      <c r="A16" s="1"/>
      <c r="B16" s="2"/>
      <c r="C16" s="6"/>
      <c r="D16" s="49"/>
      <c r="E16" s="49"/>
      <c r="F16" s="49"/>
      <c r="G16" s="49"/>
      <c r="H16" s="49"/>
    </row>
    <row r="17" spans="1:8" ht="13" x14ac:dyDescent="0.25">
      <c r="A17" s="183" t="s">
        <v>1</v>
      </c>
      <c r="B17" s="184" t="s">
        <v>5</v>
      </c>
      <c r="C17" s="183" t="s">
        <v>6</v>
      </c>
      <c r="D17" s="185" t="s">
        <v>110</v>
      </c>
      <c r="E17" s="185"/>
      <c r="F17" s="185"/>
      <c r="G17" s="185"/>
      <c r="H17" s="186" t="s">
        <v>7</v>
      </c>
    </row>
    <row r="18" spans="1:8" x14ac:dyDescent="0.25">
      <c r="A18" s="183"/>
      <c r="B18" s="184"/>
      <c r="C18" s="183"/>
      <c r="D18" s="186" t="s">
        <v>8</v>
      </c>
      <c r="E18" s="186" t="s">
        <v>9</v>
      </c>
      <c r="F18" s="186" t="s">
        <v>16</v>
      </c>
      <c r="G18" s="186" t="s">
        <v>17</v>
      </c>
      <c r="H18" s="186"/>
    </row>
    <row r="19" spans="1:8" x14ac:dyDescent="0.25">
      <c r="A19" s="183"/>
      <c r="B19" s="184"/>
      <c r="C19" s="183"/>
      <c r="D19" s="186"/>
      <c r="E19" s="186"/>
      <c r="F19" s="186"/>
      <c r="G19" s="186"/>
      <c r="H19" s="186"/>
    </row>
    <row r="20" spans="1:8" x14ac:dyDescent="0.25">
      <c r="A20" s="183"/>
      <c r="B20" s="184"/>
      <c r="C20" s="183"/>
      <c r="D20" s="186"/>
      <c r="E20" s="186"/>
      <c r="F20" s="186"/>
      <c r="G20" s="186"/>
      <c r="H20" s="186"/>
    </row>
    <row r="21" spans="1:8" ht="13" x14ac:dyDescent="0.3">
      <c r="A21" s="59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59">
        <v>8</v>
      </c>
    </row>
    <row r="22" spans="1:8" ht="19.75" customHeight="1" x14ac:dyDescent="0.25">
      <c r="A22" s="181" t="s">
        <v>61</v>
      </c>
      <c r="B22" s="182"/>
      <c r="C22" s="182"/>
      <c r="D22" s="182"/>
      <c r="E22" s="182"/>
      <c r="F22" s="182"/>
      <c r="G22" s="182"/>
      <c r="H22" s="182"/>
    </row>
    <row r="23" spans="1:8" ht="26" x14ac:dyDescent="0.25">
      <c r="A23" s="60">
        <v>1</v>
      </c>
      <c r="B23" s="61" t="s">
        <v>205</v>
      </c>
      <c r="C23" s="61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6" x14ac:dyDescent="0.25">
      <c r="A24" s="157"/>
      <c r="B24" s="158"/>
      <c r="C24" s="158" t="s">
        <v>62</v>
      </c>
      <c r="D24" s="159">
        <f>SUM(D23:D23)</f>
        <v>0</v>
      </c>
      <c r="E24" s="159">
        <f>SUM(E23:E23)</f>
        <v>0</v>
      </c>
      <c r="F24" s="159">
        <f>SUM(F23:F23)</f>
        <v>0</v>
      </c>
      <c r="G24" s="159">
        <f>SUM(G23:G23)</f>
        <v>0</v>
      </c>
      <c r="H24" s="159">
        <f>SUM(D24:G24)</f>
        <v>0</v>
      </c>
    </row>
    <row r="25" spans="1:8" ht="19.75" customHeight="1" x14ac:dyDescent="0.25">
      <c r="A25" s="190" t="s">
        <v>63</v>
      </c>
      <c r="B25" s="191"/>
      <c r="C25" s="191"/>
      <c r="D25" s="191"/>
      <c r="E25" s="191"/>
      <c r="F25" s="191"/>
      <c r="G25" s="191"/>
      <c r="H25" s="191"/>
    </row>
    <row r="26" spans="1:8" ht="26" x14ac:dyDescent="0.25">
      <c r="A26" s="157">
        <v>2</v>
      </c>
      <c r="B26" s="158" t="s">
        <v>206</v>
      </c>
      <c r="C26" s="158" t="s">
        <v>39</v>
      </c>
      <c r="D26" s="159">
        <f>'Объектный сметный расчет 2-12'!D27</f>
        <v>73.748137868480725</v>
      </c>
      <c r="E26" s="159">
        <f>'Объектный сметный расчет 2-12'!E27</f>
        <v>0</v>
      </c>
      <c r="F26" s="159">
        <f>'Объектный сметный расчет 2-12'!F27</f>
        <v>13.476781859410432</v>
      </c>
      <c r="G26" s="159">
        <f>'Объектный сметный расчет 2-12'!G27</f>
        <v>0</v>
      </c>
      <c r="H26" s="159">
        <f>SUM(D26:G26)</f>
        <v>87.224919727891162</v>
      </c>
    </row>
    <row r="27" spans="1:8" ht="12" hidden="1" customHeight="1" x14ac:dyDescent="0.25">
      <c r="A27" s="157"/>
      <c r="B27" s="158"/>
      <c r="C27" s="160" t="s">
        <v>64</v>
      </c>
      <c r="D27" s="161"/>
      <c r="E27" s="161"/>
      <c r="F27" s="161">
        <f>'[1]02-01'!F46</f>
        <v>0</v>
      </c>
      <c r="G27" s="161"/>
      <c r="H27" s="161">
        <f>F27</f>
        <v>0</v>
      </c>
    </row>
    <row r="28" spans="1:8" ht="13" hidden="1" x14ac:dyDescent="0.25">
      <c r="A28" s="157"/>
      <c r="B28" s="158"/>
      <c r="C28" s="158"/>
      <c r="D28" s="159"/>
      <c r="E28" s="159"/>
      <c r="F28" s="159"/>
      <c r="G28" s="159"/>
      <c r="H28" s="159"/>
    </row>
    <row r="29" spans="1:8" ht="13" hidden="1" x14ac:dyDescent="0.25">
      <c r="A29" s="157"/>
      <c r="B29" s="158"/>
      <c r="C29" s="158"/>
      <c r="D29" s="159"/>
      <c r="E29" s="159"/>
      <c r="F29" s="159"/>
      <c r="G29" s="159"/>
      <c r="H29" s="159"/>
    </row>
    <row r="30" spans="1:8" ht="13" hidden="1" x14ac:dyDescent="0.25">
      <c r="A30" s="157"/>
      <c r="B30" s="158"/>
      <c r="C30" s="158"/>
      <c r="D30" s="159"/>
      <c r="E30" s="159"/>
      <c r="F30" s="159"/>
      <c r="G30" s="159"/>
      <c r="H30" s="159"/>
    </row>
    <row r="31" spans="1:8" ht="13" hidden="1" x14ac:dyDescent="0.25">
      <c r="A31" s="157"/>
      <c r="B31" s="158"/>
      <c r="C31" s="158"/>
      <c r="D31" s="159"/>
      <c r="E31" s="159"/>
      <c r="F31" s="159"/>
      <c r="G31" s="159"/>
      <c r="H31" s="159"/>
    </row>
    <row r="32" spans="1:8" ht="13" hidden="1" x14ac:dyDescent="0.25">
      <c r="A32" s="157"/>
      <c r="B32" s="158"/>
      <c r="C32" s="160"/>
      <c r="D32" s="161"/>
      <c r="E32" s="161"/>
      <c r="F32" s="161"/>
      <c r="G32" s="161"/>
      <c r="H32" s="161"/>
    </row>
    <row r="33" spans="1:8" ht="13" hidden="1" x14ac:dyDescent="0.25">
      <c r="A33" s="157"/>
      <c r="B33" s="158"/>
      <c r="C33" s="158"/>
      <c r="D33" s="159"/>
      <c r="E33" s="159"/>
      <c r="F33" s="159"/>
      <c r="G33" s="159"/>
      <c r="H33" s="159"/>
    </row>
    <row r="34" spans="1:8" ht="13" hidden="1" x14ac:dyDescent="0.25">
      <c r="A34" s="157"/>
      <c r="B34" s="158"/>
      <c r="C34" s="158"/>
      <c r="D34" s="159"/>
      <c r="E34" s="159"/>
      <c r="F34" s="159"/>
      <c r="G34" s="159"/>
      <c r="H34" s="159"/>
    </row>
    <row r="35" spans="1:8" ht="26" x14ac:dyDescent="0.25">
      <c r="A35" s="157"/>
      <c r="B35" s="158"/>
      <c r="C35" s="158" t="s">
        <v>65</v>
      </c>
      <c r="D35" s="159">
        <f>D26</f>
        <v>73.748137868480725</v>
      </c>
      <c r="E35" s="159">
        <f>E26</f>
        <v>0</v>
      </c>
      <c r="F35" s="159">
        <f>F26</f>
        <v>13.476781859410432</v>
      </c>
      <c r="G35" s="159">
        <f>G26</f>
        <v>0</v>
      </c>
      <c r="H35" s="159">
        <f>SUM(D35:G35)</f>
        <v>87.224919727891162</v>
      </c>
    </row>
    <row r="36" spans="1:8" ht="19.75" hidden="1" customHeight="1" x14ac:dyDescent="0.25">
      <c r="A36" s="190" t="s">
        <v>66</v>
      </c>
      <c r="B36" s="191"/>
      <c r="C36" s="191"/>
      <c r="D36" s="191"/>
      <c r="E36" s="191"/>
      <c r="F36" s="191"/>
      <c r="G36" s="191"/>
      <c r="H36" s="191"/>
    </row>
    <row r="37" spans="1:8" ht="13" hidden="1" x14ac:dyDescent="0.25">
      <c r="A37" s="157"/>
      <c r="B37" s="158"/>
      <c r="C37" s="158"/>
      <c r="D37" s="159"/>
      <c r="E37" s="159"/>
      <c r="F37" s="159"/>
      <c r="G37" s="159"/>
      <c r="H37" s="159"/>
    </row>
    <row r="38" spans="1:8" ht="13" hidden="1" x14ac:dyDescent="0.25">
      <c r="A38" s="157"/>
      <c r="B38" s="158"/>
      <c r="C38" s="158"/>
      <c r="D38" s="159"/>
      <c r="E38" s="159"/>
      <c r="F38" s="159"/>
      <c r="G38" s="159"/>
      <c r="H38" s="159"/>
    </row>
    <row r="39" spans="1:8" ht="13" hidden="1" x14ac:dyDescent="0.25">
      <c r="A39" s="157"/>
      <c r="B39" s="158"/>
      <c r="C39" s="158"/>
      <c r="D39" s="159"/>
      <c r="E39" s="159"/>
      <c r="F39" s="159"/>
      <c r="G39" s="159"/>
      <c r="H39" s="159"/>
    </row>
    <row r="40" spans="1:8" ht="13" hidden="1" x14ac:dyDescent="0.25">
      <c r="A40" s="157"/>
      <c r="B40" s="158"/>
      <c r="C40" s="158"/>
      <c r="D40" s="159"/>
      <c r="E40" s="159"/>
      <c r="F40" s="159"/>
      <c r="G40" s="159"/>
      <c r="H40" s="159"/>
    </row>
    <row r="41" spans="1:8" ht="13" hidden="1" x14ac:dyDescent="0.25">
      <c r="A41" s="157"/>
      <c r="B41" s="158"/>
      <c r="C41" s="158"/>
      <c r="D41" s="159"/>
      <c r="E41" s="159"/>
      <c r="F41" s="159"/>
      <c r="G41" s="159"/>
      <c r="H41" s="159"/>
    </row>
    <row r="42" spans="1:8" ht="13" hidden="1" x14ac:dyDescent="0.25">
      <c r="A42" s="157"/>
      <c r="B42" s="158"/>
      <c r="C42" s="158"/>
      <c r="D42" s="159"/>
      <c r="E42" s="159"/>
      <c r="F42" s="159"/>
      <c r="G42" s="159"/>
      <c r="H42" s="159"/>
    </row>
    <row r="43" spans="1:8" ht="13" hidden="1" x14ac:dyDescent="0.25">
      <c r="A43" s="157"/>
      <c r="B43" s="158"/>
      <c r="C43" s="158"/>
      <c r="D43" s="159"/>
      <c r="E43" s="159"/>
      <c r="F43" s="159"/>
      <c r="G43" s="159"/>
      <c r="H43" s="159"/>
    </row>
    <row r="44" spans="1:8" ht="13" hidden="1" x14ac:dyDescent="0.25">
      <c r="A44" s="157"/>
      <c r="B44" s="158"/>
      <c r="C44" s="158"/>
      <c r="D44" s="159"/>
      <c r="E44" s="159"/>
      <c r="F44" s="159"/>
      <c r="G44" s="159"/>
      <c r="H44" s="159"/>
    </row>
    <row r="45" spans="1:8" ht="13" hidden="1" x14ac:dyDescent="0.25">
      <c r="A45" s="157"/>
      <c r="B45" s="158"/>
      <c r="C45" s="158"/>
      <c r="D45" s="159"/>
      <c r="E45" s="159"/>
      <c r="F45" s="159"/>
      <c r="G45" s="159"/>
      <c r="H45" s="159"/>
    </row>
    <row r="46" spans="1:8" ht="13" hidden="1" x14ac:dyDescent="0.25">
      <c r="A46" s="157"/>
      <c r="B46" s="158"/>
      <c r="C46" s="158"/>
      <c r="D46" s="159"/>
      <c r="E46" s="159"/>
      <c r="F46" s="159"/>
      <c r="G46" s="159"/>
      <c r="H46" s="159"/>
    </row>
    <row r="47" spans="1:8" ht="13" hidden="1" x14ac:dyDescent="0.25">
      <c r="A47" s="157"/>
      <c r="B47" s="158"/>
      <c r="C47" s="158"/>
      <c r="D47" s="159"/>
      <c r="E47" s="159"/>
      <c r="F47" s="159"/>
      <c r="G47" s="159"/>
      <c r="H47" s="159"/>
    </row>
    <row r="48" spans="1:8" ht="26" hidden="1" x14ac:dyDescent="0.25">
      <c r="A48" s="157"/>
      <c r="B48" s="158"/>
      <c r="C48" s="158" t="s">
        <v>67</v>
      </c>
      <c r="D48" s="159">
        <f>SUM(D37:D47)</f>
        <v>0</v>
      </c>
      <c r="E48" s="159">
        <f>SUM(E37:E47)</f>
        <v>0</v>
      </c>
      <c r="F48" s="159">
        <f>SUM(F37:F47)</f>
        <v>0</v>
      </c>
      <c r="G48" s="159">
        <f>SUM(G37:G47)</f>
        <v>0</v>
      </c>
      <c r="H48" s="159">
        <f>SUM(D48:G48)</f>
        <v>0</v>
      </c>
    </row>
    <row r="49" spans="1:8" ht="18.75" hidden="1" customHeight="1" x14ac:dyDescent="0.25">
      <c r="A49" s="190" t="s">
        <v>68</v>
      </c>
      <c r="B49" s="191"/>
      <c r="C49" s="191"/>
      <c r="D49" s="191"/>
      <c r="E49" s="191"/>
      <c r="F49" s="191"/>
      <c r="G49" s="191"/>
      <c r="H49" s="191"/>
    </row>
    <row r="50" spans="1:8" ht="13" hidden="1" x14ac:dyDescent="0.25">
      <c r="A50" s="157"/>
      <c r="B50" s="158"/>
      <c r="C50" s="158"/>
      <c r="D50" s="159"/>
      <c r="E50" s="159"/>
      <c r="F50" s="159"/>
      <c r="G50" s="159"/>
      <c r="H50" s="159"/>
    </row>
    <row r="51" spans="1:8" ht="13" hidden="1" x14ac:dyDescent="0.25">
      <c r="A51" s="157"/>
      <c r="B51" s="158"/>
      <c r="C51" s="158"/>
      <c r="D51" s="159"/>
      <c r="E51" s="159"/>
      <c r="F51" s="159"/>
      <c r="G51" s="159"/>
      <c r="H51" s="159"/>
    </row>
    <row r="52" spans="1:8" ht="13" hidden="1" x14ac:dyDescent="0.25">
      <c r="A52" s="157"/>
      <c r="B52" s="158"/>
      <c r="C52" s="158"/>
      <c r="D52" s="159"/>
      <c r="E52" s="159"/>
      <c r="F52" s="159"/>
      <c r="G52" s="159"/>
      <c r="H52" s="159"/>
    </row>
    <row r="53" spans="1:8" ht="39" hidden="1" x14ac:dyDescent="0.25">
      <c r="A53" s="157"/>
      <c r="B53" s="158"/>
      <c r="C53" s="158" t="s">
        <v>69</v>
      </c>
      <c r="D53" s="159">
        <f>SUM(D50:D52)</f>
        <v>0</v>
      </c>
      <c r="E53" s="159">
        <f>SUM(E50:E52)</f>
        <v>0</v>
      </c>
      <c r="F53" s="159">
        <f>SUM(F50:F52)</f>
        <v>0</v>
      </c>
      <c r="G53" s="159">
        <f>SUM(G50:G52)</f>
        <v>0</v>
      </c>
      <c r="H53" s="159">
        <f>SUM(D53:G53)</f>
        <v>0</v>
      </c>
    </row>
    <row r="54" spans="1:8" ht="19.75" hidden="1" customHeight="1" x14ac:dyDescent="0.25">
      <c r="A54" s="190" t="s">
        <v>70</v>
      </c>
      <c r="B54" s="191"/>
      <c r="C54" s="191"/>
      <c r="D54" s="191"/>
      <c r="E54" s="191"/>
      <c r="F54" s="191"/>
      <c r="G54" s="191"/>
      <c r="H54" s="191"/>
    </row>
    <row r="55" spans="1:8" ht="13" hidden="1" x14ac:dyDescent="0.25">
      <c r="A55" s="157"/>
      <c r="B55" s="158"/>
      <c r="C55" s="158"/>
      <c r="D55" s="159"/>
      <c r="E55" s="159"/>
      <c r="F55" s="159"/>
      <c r="G55" s="159"/>
      <c r="H55" s="159"/>
    </row>
    <row r="56" spans="1:8" ht="13" hidden="1" x14ac:dyDescent="0.25">
      <c r="A56" s="157"/>
      <c r="B56" s="158"/>
      <c r="C56" s="158"/>
      <c r="D56" s="159"/>
      <c r="E56" s="159"/>
      <c r="F56" s="159"/>
      <c r="G56" s="159"/>
      <c r="H56" s="159"/>
    </row>
    <row r="57" spans="1:8" ht="26" hidden="1" x14ac:dyDescent="0.25">
      <c r="A57" s="157"/>
      <c r="B57" s="158"/>
      <c r="C57" s="158" t="s">
        <v>71</v>
      </c>
      <c r="D57" s="159">
        <f>SUM(D55:D56)</f>
        <v>0</v>
      </c>
      <c r="E57" s="159">
        <f>SUM(E55:E56)</f>
        <v>0</v>
      </c>
      <c r="F57" s="159">
        <f>SUM(F55:F56)</f>
        <v>0</v>
      </c>
      <c r="G57" s="159">
        <f>SUM(G55:G56)</f>
        <v>0</v>
      </c>
      <c r="H57" s="159">
        <f t="shared" ref="H57:H64" si="0">SUM(D57:G57)</f>
        <v>0</v>
      </c>
    </row>
    <row r="58" spans="1:8" ht="13" x14ac:dyDescent="0.25">
      <c r="A58" s="157"/>
      <c r="B58" s="158"/>
      <c r="C58" s="158" t="s">
        <v>72</v>
      </c>
      <c r="D58" s="159">
        <f>D35+D24</f>
        <v>73.748137868480725</v>
      </c>
      <c r="E58" s="159">
        <f>E35+E24</f>
        <v>0</v>
      </c>
      <c r="F58" s="159">
        <f>F35+F24</f>
        <v>13.476781859410432</v>
      </c>
      <c r="G58" s="159">
        <f>G35+G24</f>
        <v>0</v>
      </c>
      <c r="H58" s="159">
        <f>H35+H24</f>
        <v>87.224919727891162</v>
      </c>
    </row>
    <row r="59" spans="1:8" ht="13" hidden="1" x14ac:dyDescent="0.25">
      <c r="A59" s="157"/>
      <c r="B59" s="158"/>
      <c r="C59" s="160" t="s">
        <v>73</v>
      </c>
      <c r="D59" s="159"/>
      <c r="E59" s="159"/>
      <c r="F59" s="159"/>
      <c r="G59" s="159"/>
      <c r="H59" s="159"/>
    </row>
    <row r="60" spans="1:8" ht="13" hidden="1" x14ac:dyDescent="0.25">
      <c r="A60" s="157"/>
      <c r="B60" s="158"/>
      <c r="C60" s="160" t="s">
        <v>74</v>
      </c>
      <c r="D60" s="161" t="e">
        <f>D23+#REF!+#REF!++D26+D31+D48+D53+D57</f>
        <v>#REF!</v>
      </c>
      <c r="E60" s="161" t="e">
        <f>E23+#REF!+#REF!++E26+E31+E48+E53+E57</f>
        <v>#REF!</v>
      </c>
      <c r="F60" s="161" t="e">
        <f>F23+#REF!+#REF!++F26+F31+F48+F53+F57</f>
        <v>#REF!</v>
      </c>
      <c r="G60" s="161" t="e">
        <f>G23+#REF!+#REF!++G26+G31+G48+G53+G57</f>
        <v>#REF!</v>
      </c>
      <c r="H60" s="161" t="e">
        <f t="shared" si="0"/>
        <v>#REF!</v>
      </c>
    </row>
    <row r="61" spans="1:8" ht="13" hidden="1" x14ac:dyDescent="0.25">
      <c r="A61" s="157"/>
      <c r="B61" s="158"/>
      <c r="C61" s="160" t="s">
        <v>75</v>
      </c>
      <c r="D61" s="161" t="e">
        <f>D28+#REF!</f>
        <v>#REF!</v>
      </c>
      <c r="E61" s="161" t="e">
        <f>E28+#REF!</f>
        <v>#REF!</v>
      </c>
      <c r="F61" s="161" t="e">
        <f>F28+#REF!</f>
        <v>#REF!</v>
      </c>
      <c r="G61" s="161" t="e">
        <f>G28+#REF!</f>
        <v>#REF!</v>
      </c>
      <c r="H61" s="161" t="e">
        <f t="shared" si="0"/>
        <v>#REF!</v>
      </c>
    </row>
    <row r="62" spans="1:8" ht="13" hidden="1" x14ac:dyDescent="0.25">
      <c r="A62" s="157"/>
      <c r="B62" s="158"/>
      <c r="C62" s="160" t="s">
        <v>76</v>
      </c>
      <c r="D62" s="161">
        <f>D33+D34</f>
        <v>0</v>
      </c>
      <c r="E62" s="161">
        <f>E33+E34</f>
        <v>0</v>
      </c>
      <c r="F62" s="161">
        <f>F33+F34</f>
        <v>0</v>
      </c>
      <c r="G62" s="161">
        <f>G33+G34</f>
        <v>0</v>
      </c>
      <c r="H62" s="161">
        <f>SUM(D62:G62)</f>
        <v>0</v>
      </c>
    </row>
    <row r="63" spans="1:8" ht="13" hidden="1" x14ac:dyDescent="0.25">
      <c r="A63" s="157"/>
      <c r="B63" s="158"/>
      <c r="C63" s="160" t="s">
        <v>77</v>
      </c>
      <c r="D63" s="161">
        <f>D29</f>
        <v>0</v>
      </c>
      <c r="E63" s="161">
        <f>E29</f>
        <v>0</v>
      </c>
      <c r="F63" s="161">
        <f>F29</f>
        <v>0</v>
      </c>
      <c r="G63" s="161">
        <f>G29</f>
        <v>0</v>
      </c>
      <c r="H63" s="161">
        <f>SUM(D63:G63)</f>
        <v>0</v>
      </c>
    </row>
    <row r="64" spans="1:8" ht="13" hidden="1" x14ac:dyDescent="0.25">
      <c r="A64" s="157"/>
      <c r="B64" s="158"/>
      <c r="C64" s="160" t="s">
        <v>78</v>
      </c>
      <c r="D64" s="161" t="e">
        <f>#REF!++D30</f>
        <v>#REF!</v>
      </c>
      <c r="E64" s="161" t="e">
        <f>#REF!++E30</f>
        <v>#REF!</v>
      </c>
      <c r="F64" s="161" t="e">
        <f>#REF!++F30</f>
        <v>#REF!</v>
      </c>
      <c r="G64" s="161" t="e">
        <f>#REF!++G30</f>
        <v>#REF!</v>
      </c>
      <c r="H64" s="161" t="e">
        <f t="shared" si="0"/>
        <v>#REF!</v>
      </c>
    </row>
    <row r="65" spans="1:8" ht="19.75" customHeight="1" x14ac:dyDescent="0.25">
      <c r="A65" s="190" t="s">
        <v>18</v>
      </c>
      <c r="B65" s="191"/>
      <c r="C65" s="191"/>
      <c r="D65" s="191"/>
      <c r="E65" s="191"/>
      <c r="F65" s="191"/>
      <c r="G65" s="191"/>
      <c r="H65" s="191"/>
    </row>
    <row r="66" spans="1:8" ht="26" x14ac:dyDescent="0.25">
      <c r="A66" s="157">
        <v>3</v>
      </c>
      <c r="B66" s="162" t="s">
        <v>208</v>
      </c>
      <c r="C66" s="163" t="s">
        <v>209</v>
      </c>
      <c r="D66" s="159">
        <f>D58*3.9%*0.8</f>
        <v>2.3009419014965986</v>
      </c>
      <c r="E66" s="159">
        <f>E58*0.025</f>
        <v>0</v>
      </c>
      <c r="F66" s="159"/>
      <c r="G66" s="159"/>
      <c r="H66" s="159">
        <f>SUM(D66:G66)</f>
        <v>2.3009419014965986</v>
      </c>
    </row>
    <row r="67" spans="1:8" ht="26" hidden="1" x14ac:dyDescent="0.25">
      <c r="A67" s="157">
        <v>30</v>
      </c>
      <c r="B67" s="158" t="s">
        <v>79</v>
      </c>
      <c r="C67" s="158" t="s">
        <v>80</v>
      </c>
      <c r="D67" s="159" t="e">
        <f>D61*2.5%*0.8</f>
        <v>#REF!</v>
      </c>
      <c r="E67" s="159" t="e">
        <f>E61*2.5%*0.8</f>
        <v>#REF!</v>
      </c>
      <c r="F67" s="159"/>
      <c r="G67" s="159"/>
      <c r="H67" s="159" t="e">
        <f>SUM(D67:G67)</f>
        <v>#REF!</v>
      </c>
    </row>
    <row r="68" spans="1:8" ht="26" hidden="1" x14ac:dyDescent="0.25">
      <c r="A68" s="157">
        <v>31</v>
      </c>
      <c r="B68" s="158" t="s">
        <v>79</v>
      </c>
      <c r="C68" s="158" t="s">
        <v>81</v>
      </c>
      <c r="D68" s="159">
        <f>D62*2.5%*0.8</f>
        <v>0</v>
      </c>
      <c r="E68" s="159">
        <f>E62*2.5%*0.8</f>
        <v>0</v>
      </c>
      <c r="F68" s="159"/>
      <c r="G68" s="159"/>
      <c r="H68" s="159">
        <f>SUM(D68:G68)</f>
        <v>0</v>
      </c>
    </row>
    <row r="69" spans="1:8" ht="26" hidden="1" x14ac:dyDescent="0.25">
      <c r="A69" s="157">
        <v>32</v>
      </c>
      <c r="B69" s="158" t="s">
        <v>82</v>
      </c>
      <c r="C69" s="158" t="s">
        <v>83</v>
      </c>
      <c r="D69" s="159">
        <f>D63*3.3%*0.8</f>
        <v>0</v>
      </c>
      <c r="E69" s="159">
        <f>E63*3.3%*0.8</f>
        <v>0</v>
      </c>
      <c r="F69" s="159"/>
      <c r="G69" s="159"/>
      <c r="H69" s="159">
        <f>SUM(D69:G69)</f>
        <v>0</v>
      </c>
    </row>
    <row r="70" spans="1:8" ht="26" hidden="1" x14ac:dyDescent="0.25">
      <c r="A70" s="157">
        <v>33</v>
      </c>
      <c r="B70" s="158" t="s">
        <v>82</v>
      </c>
      <c r="C70" s="158" t="s">
        <v>84</v>
      </c>
      <c r="D70" s="159" t="e">
        <f>D64*3.3%*0.8</f>
        <v>#REF!</v>
      </c>
      <c r="E70" s="159" t="e">
        <f>E64*3.3%*0.8</f>
        <v>#REF!</v>
      </c>
      <c r="F70" s="159"/>
      <c r="G70" s="159"/>
      <c r="H70" s="159" t="e">
        <f>SUM(D70:G70)</f>
        <v>#REF!</v>
      </c>
    </row>
    <row r="71" spans="1:8" ht="26" x14ac:dyDescent="0.25">
      <c r="A71" s="157"/>
      <c r="B71" s="158"/>
      <c r="C71" s="158" t="s">
        <v>85</v>
      </c>
      <c r="D71" s="159">
        <f>D66</f>
        <v>2.3009419014965986</v>
      </c>
      <c r="E71" s="159">
        <f>E66</f>
        <v>0</v>
      </c>
      <c r="F71" s="159">
        <f>F66</f>
        <v>0</v>
      </c>
      <c r="G71" s="159">
        <f>G66</f>
        <v>0</v>
      </c>
      <c r="H71" s="159">
        <f>H66</f>
        <v>2.3009419014965986</v>
      </c>
    </row>
    <row r="72" spans="1:8" ht="13" x14ac:dyDescent="0.25">
      <c r="A72" s="157"/>
      <c r="B72" s="158"/>
      <c r="C72" s="158" t="s">
        <v>19</v>
      </c>
      <c r="D72" s="159">
        <f>D58+D71</f>
        <v>76.049079769977325</v>
      </c>
      <c r="E72" s="159">
        <f>E58+E71</f>
        <v>0</v>
      </c>
      <c r="F72" s="159">
        <f>F58+F71</f>
        <v>13.476781859410432</v>
      </c>
      <c r="G72" s="159">
        <f>G58+G71</f>
        <v>0</v>
      </c>
      <c r="H72" s="159">
        <f>SUM(D72:G72)</f>
        <v>89.525861629387762</v>
      </c>
    </row>
    <row r="73" spans="1:8" ht="13" hidden="1" x14ac:dyDescent="0.25">
      <c r="A73" s="157"/>
      <c r="B73" s="158"/>
      <c r="C73" s="160" t="s">
        <v>73</v>
      </c>
      <c r="D73" s="159"/>
      <c r="E73" s="159"/>
      <c r="F73" s="159"/>
      <c r="G73" s="159"/>
      <c r="H73" s="159"/>
    </row>
    <row r="74" spans="1:8" ht="13" hidden="1" x14ac:dyDescent="0.25">
      <c r="A74" s="157"/>
      <c r="B74" s="158"/>
      <c r="C74" s="160" t="s">
        <v>74</v>
      </c>
      <c r="D74" s="161" t="e">
        <f t="shared" ref="D74:G78" si="1">D60+D66</f>
        <v>#REF!</v>
      </c>
      <c r="E74" s="161" t="e">
        <f t="shared" si="1"/>
        <v>#REF!</v>
      </c>
      <c r="F74" s="161" t="e">
        <f t="shared" si="1"/>
        <v>#REF!</v>
      </c>
      <c r="G74" s="161" t="e">
        <f t="shared" si="1"/>
        <v>#REF!</v>
      </c>
      <c r="H74" s="161" t="e">
        <f>SUM(D74:G74)</f>
        <v>#REF!</v>
      </c>
    </row>
    <row r="75" spans="1:8" ht="13" hidden="1" x14ac:dyDescent="0.25">
      <c r="A75" s="157"/>
      <c r="B75" s="158"/>
      <c r="C75" s="160" t="s">
        <v>75</v>
      </c>
      <c r="D75" s="161" t="e">
        <f>D61+D67</f>
        <v>#REF!</v>
      </c>
      <c r="E75" s="161" t="e">
        <f t="shared" si="1"/>
        <v>#REF!</v>
      </c>
      <c r="F75" s="161" t="e">
        <f t="shared" si="1"/>
        <v>#REF!</v>
      </c>
      <c r="G75" s="161" t="e">
        <f t="shared" si="1"/>
        <v>#REF!</v>
      </c>
      <c r="H75" s="161" t="e">
        <f>SUM(D75:G75)</f>
        <v>#REF!</v>
      </c>
    </row>
    <row r="76" spans="1:8" ht="13" hidden="1" x14ac:dyDescent="0.25">
      <c r="A76" s="157"/>
      <c r="B76" s="158"/>
      <c r="C76" s="160" t="s">
        <v>76</v>
      </c>
      <c r="D76" s="161">
        <f t="shared" si="1"/>
        <v>0</v>
      </c>
      <c r="E76" s="161">
        <f t="shared" si="1"/>
        <v>0</v>
      </c>
      <c r="F76" s="161">
        <f t="shared" si="1"/>
        <v>0</v>
      </c>
      <c r="G76" s="161">
        <f t="shared" si="1"/>
        <v>0</v>
      </c>
      <c r="H76" s="161">
        <f>SUM(D76:G76)</f>
        <v>0</v>
      </c>
    </row>
    <row r="77" spans="1:8" ht="13" hidden="1" x14ac:dyDescent="0.25">
      <c r="A77" s="157"/>
      <c r="B77" s="158"/>
      <c r="C77" s="160" t="s">
        <v>77</v>
      </c>
      <c r="D77" s="161">
        <f t="shared" si="1"/>
        <v>0</v>
      </c>
      <c r="E77" s="161">
        <f t="shared" si="1"/>
        <v>0</v>
      </c>
      <c r="F77" s="161">
        <f t="shared" si="1"/>
        <v>0</v>
      </c>
      <c r="G77" s="161">
        <f t="shared" si="1"/>
        <v>0</v>
      </c>
      <c r="H77" s="161">
        <f>SUM(D77:G77)</f>
        <v>0</v>
      </c>
    </row>
    <row r="78" spans="1:8" ht="13" hidden="1" x14ac:dyDescent="0.25">
      <c r="A78" s="157"/>
      <c r="B78" s="158"/>
      <c r="C78" s="160" t="s">
        <v>78</v>
      </c>
      <c r="D78" s="161" t="e">
        <f t="shared" si="1"/>
        <v>#REF!</v>
      </c>
      <c r="E78" s="161" t="e">
        <f t="shared" si="1"/>
        <v>#REF!</v>
      </c>
      <c r="F78" s="161" t="e">
        <f t="shared" si="1"/>
        <v>#REF!</v>
      </c>
      <c r="G78" s="161" t="e">
        <f t="shared" si="1"/>
        <v>#REF!</v>
      </c>
      <c r="H78" s="161" t="e">
        <f>SUM(D78:G78)</f>
        <v>#REF!</v>
      </c>
    </row>
    <row r="79" spans="1:8" ht="19.75" customHeight="1" x14ac:dyDescent="0.25">
      <c r="A79" s="190" t="s">
        <v>20</v>
      </c>
      <c r="B79" s="190"/>
      <c r="C79" s="190"/>
      <c r="D79" s="190"/>
      <c r="E79" s="190"/>
      <c r="F79" s="190"/>
      <c r="G79" s="190"/>
      <c r="H79" s="190"/>
    </row>
    <row r="80" spans="1:8" ht="26" x14ac:dyDescent="0.25">
      <c r="A80" s="157">
        <v>4</v>
      </c>
      <c r="B80" s="162" t="s">
        <v>210</v>
      </c>
      <c r="C80" s="163" t="s">
        <v>211</v>
      </c>
      <c r="D80" s="159">
        <f>D72*2.1%*1.2</f>
        <v>1.9164368102034288</v>
      </c>
      <c r="E80" s="159">
        <f>E72*3.19%</f>
        <v>0</v>
      </c>
      <c r="F80" s="159"/>
      <c r="G80" s="159"/>
      <c r="H80" s="159">
        <f>SUM(D80:G80)</f>
        <v>1.9164368102034288</v>
      </c>
    </row>
    <row r="81" spans="1:8" ht="26" x14ac:dyDescent="0.25">
      <c r="A81" s="157">
        <v>5</v>
      </c>
      <c r="B81" s="158" t="s">
        <v>212</v>
      </c>
      <c r="C81" s="164" t="s">
        <v>213</v>
      </c>
      <c r="D81" s="159"/>
      <c r="E81" s="159"/>
      <c r="F81" s="159"/>
      <c r="G81" s="159">
        <f>D72*2.13%</f>
        <v>1.6198453991005171</v>
      </c>
      <c r="H81" s="159">
        <f>SUM(D81:G81)</f>
        <v>1.6198453991005171</v>
      </c>
    </row>
    <row r="82" spans="1:8" ht="13" x14ac:dyDescent="0.25">
      <c r="A82" s="157"/>
      <c r="B82" s="158"/>
      <c r="C82" s="158" t="s">
        <v>86</v>
      </c>
      <c r="D82" s="159">
        <f>SUM(D80:D81)</f>
        <v>1.9164368102034288</v>
      </c>
      <c r="E82" s="159">
        <f>SUM(E80:E81)</f>
        <v>0</v>
      </c>
      <c r="F82" s="159">
        <f>SUM(F80:F81)</f>
        <v>0</v>
      </c>
      <c r="G82" s="159">
        <f>SUM(G80:G81)</f>
        <v>1.6198453991005171</v>
      </c>
      <c r="H82" s="159">
        <f>SUM(D82:G82)</f>
        <v>3.5362822093039457</v>
      </c>
    </row>
    <row r="83" spans="1:8" ht="13" x14ac:dyDescent="0.25">
      <c r="A83" s="157"/>
      <c r="B83" s="158"/>
      <c r="C83" s="158" t="s">
        <v>11</v>
      </c>
      <c r="D83" s="159">
        <f>D72+D82</f>
        <v>77.965516580180747</v>
      </c>
      <c r="E83" s="159">
        <f>E72+E82</f>
        <v>0</v>
      </c>
      <c r="F83" s="159">
        <f>F72+F82</f>
        <v>13.476781859410432</v>
      </c>
      <c r="G83" s="159">
        <f>G72+G82</f>
        <v>1.6198453991005171</v>
      </c>
      <c r="H83" s="159">
        <f>SUM(D83:G83)</f>
        <v>93.062143838691696</v>
      </c>
    </row>
    <row r="84" spans="1:8" ht="19.75" customHeight="1" x14ac:dyDescent="0.25">
      <c r="A84" s="190" t="s">
        <v>87</v>
      </c>
      <c r="B84" s="190"/>
      <c r="C84" s="190"/>
      <c r="D84" s="190"/>
      <c r="E84" s="190"/>
      <c r="F84" s="190"/>
      <c r="G84" s="190"/>
      <c r="H84" s="190"/>
    </row>
    <row r="85" spans="1:8" ht="39" customHeight="1" x14ac:dyDescent="0.25">
      <c r="A85" s="157">
        <v>6</v>
      </c>
      <c r="B85" s="158" t="s">
        <v>88</v>
      </c>
      <c r="C85" s="158" t="s">
        <v>119</v>
      </c>
      <c r="D85" s="159"/>
      <c r="E85" s="159"/>
      <c r="F85" s="159"/>
      <c r="G85" s="159">
        <f>H83*2.14%</f>
        <v>1.9915298781480024</v>
      </c>
      <c r="H85" s="159">
        <f>SUM(D85:G85)</f>
        <v>1.9915298781480024</v>
      </c>
    </row>
    <row r="86" spans="1:8" ht="13" x14ac:dyDescent="0.25">
      <c r="A86" s="157">
        <v>8</v>
      </c>
      <c r="B86" s="158" t="s">
        <v>214</v>
      </c>
      <c r="C86" s="164" t="s">
        <v>215</v>
      </c>
      <c r="D86" s="159"/>
      <c r="E86" s="159"/>
      <c r="F86" s="159"/>
      <c r="G86" s="159">
        <f>H83*1.3%</f>
        <v>1.2098078699029922</v>
      </c>
      <c r="H86" s="159">
        <f>G86</f>
        <v>1.2098078699029922</v>
      </c>
    </row>
    <row r="87" spans="1:8" ht="26" x14ac:dyDescent="0.25">
      <c r="A87" s="157"/>
      <c r="B87" s="158"/>
      <c r="C87" s="158" t="s">
        <v>89</v>
      </c>
      <c r="D87" s="159"/>
      <c r="E87" s="159"/>
      <c r="F87" s="159"/>
      <c r="G87" s="159">
        <f>G85+G86</f>
        <v>3.2013377480509946</v>
      </c>
      <c r="H87" s="159">
        <f>H85+H86</f>
        <v>3.2013377480509946</v>
      </c>
    </row>
    <row r="88" spans="1:8" ht="19.75" customHeight="1" x14ac:dyDescent="0.25">
      <c r="A88" s="190" t="s">
        <v>13</v>
      </c>
      <c r="B88" s="190"/>
      <c r="C88" s="190"/>
      <c r="D88" s="190"/>
      <c r="E88" s="190"/>
      <c r="F88" s="190"/>
      <c r="G88" s="190"/>
      <c r="H88" s="190"/>
    </row>
    <row r="89" spans="1:8" ht="13" x14ac:dyDescent="0.25">
      <c r="A89" s="157">
        <v>9</v>
      </c>
      <c r="B89" s="158"/>
      <c r="C89" s="158" t="s">
        <v>90</v>
      </c>
      <c r="D89" s="159"/>
      <c r="E89" s="159"/>
      <c r="F89" s="159"/>
      <c r="G89" s="159">
        <f>H83*0.05</f>
        <v>4.653107191934585</v>
      </c>
      <c r="H89" s="159">
        <f>SUM(D89:G89)</f>
        <v>4.653107191934585</v>
      </c>
    </row>
    <row r="90" spans="1:8" ht="26" hidden="1" x14ac:dyDescent="0.25">
      <c r="A90" s="157">
        <v>10</v>
      </c>
      <c r="B90" s="158" t="s">
        <v>198</v>
      </c>
      <c r="C90" s="158" t="s">
        <v>197</v>
      </c>
      <c r="D90" s="159"/>
      <c r="E90" s="159"/>
      <c r="F90" s="159"/>
      <c r="G90" s="159">
        <v>0</v>
      </c>
      <c r="H90" s="159">
        <f>SUM(D90:G90)</f>
        <v>0</v>
      </c>
    </row>
    <row r="91" spans="1:8" ht="26" x14ac:dyDescent="0.25">
      <c r="A91" s="157"/>
      <c r="B91" s="158"/>
      <c r="C91" s="158" t="s">
        <v>91</v>
      </c>
      <c r="D91" s="159"/>
      <c r="E91" s="159"/>
      <c r="F91" s="159"/>
      <c r="G91" s="159">
        <f>SUM(G89:G89)</f>
        <v>4.653107191934585</v>
      </c>
      <c r="H91" s="159">
        <f>SUM(H89:H89)</f>
        <v>4.653107191934585</v>
      </c>
    </row>
    <row r="92" spans="1:8" ht="13" x14ac:dyDescent="0.25">
      <c r="A92" s="157"/>
      <c r="B92" s="158"/>
      <c r="C92" s="158" t="s">
        <v>14</v>
      </c>
      <c r="D92" s="159">
        <f>D83</f>
        <v>77.965516580180747</v>
      </c>
      <c r="E92" s="159">
        <f>E83</f>
        <v>0</v>
      </c>
      <c r="F92" s="159">
        <f>F83</f>
        <v>13.476781859410432</v>
      </c>
      <c r="G92" s="159">
        <f>G87+G83+G91</f>
        <v>9.474290339086096</v>
      </c>
      <c r="H92" s="159">
        <f>SUM(D92:G92)</f>
        <v>100.91658877867728</v>
      </c>
    </row>
    <row r="93" spans="1:8" s="62" customFormat="1" ht="13" hidden="1" x14ac:dyDescent="0.3">
      <c r="A93" s="165"/>
      <c r="B93" s="160"/>
      <c r="C93" s="160" t="s">
        <v>64</v>
      </c>
      <c r="D93" s="161"/>
      <c r="E93" s="161"/>
      <c r="F93" s="161"/>
      <c r="G93" s="161"/>
      <c r="H93" s="161">
        <f>SUM(D93:G93)</f>
        <v>0</v>
      </c>
    </row>
    <row r="94" spans="1:8" ht="19.75" customHeight="1" x14ac:dyDescent="0.25">
      <c r="A94" s="190" t="s">
        <v>15</v>
      </c>
      <c r="B94" s="190"/>
      <c r="C94" s="190"/>
      <c r="D94" s="190"/>
      <c r="E94" s="190"/>
      <c r="F94" s="190"/>
      <c r="G94" s="190"/>
      <c r="H94" s="190"/>
    </row>
    <row r="95" spans="1:8" ht="13" x14ac:dyDescent="0.25">
      <c r="A95" s="157">
        <v>10</v>
      </c>
      <c r="B95" s="158" t="s">
        <v>207</v>
      </c>
      <c r="C95" s="158" t="s">
        <v>92</v>
      </c>
      <c r="D95" s="159">
        <f>D92*0.03</f>
        <v>2.3389654974054221</v>
      </c>
      <c r="E95" s="159">
        <f>E92*0.03</f>
        <v>0</v>
      </c>
      <c r="F95" s="159">
        <f>F92*0.03</f>
        <v>0.40430345578231291</v>
      </c>
      <c r="G95" s="159">
        <f>G92*0.03</f>
        <v>0.28422871017258289</v>
      </c>
      <c r="H95" s="159">
        <f>H92*0.03</f>
        <v>3.0274976633603181</v>
      </c>
    </row>
    <row r="96" spans="1:8" ht="13" x14ac:dyDescent="0.25">
      <c r="A96" s="157"/>
      <c r="B96" s="158"/>
      <c r="C96" s="158" t="s">
        <v>93</v>
      </c>
      <c r="D96" s="159">
        <f>D95</f>
        <v>2.3389654974054221</v>
      </c>
      <c r="E96" s="159">
        <f>E95</f>
        <v>0</v>
      </c>
      <c r="F96" s="159">
        <f>F95</f>
        <v>0.40430345578231291</v>
      </c>
      <c r="G96" s="159">
        <f>G95</f>
        <v>0.28422871017258289</v>
      </c>
      <c r="H96" s="159">
        <f>H95</f>
        <v>3.0274976633603181</v>
      </c>
    </row>
    <row r="97" spans="1:8" ht="13" x14ac:dyDescent="0.25">
      <c r="A97" s="166"/>
      <c r="B97" s="167"/>
      <c r="C97" s="167" t="s">
        <v>94</v>
      </c>
      <c r="D97" s="168">
        <f>D92+D96</f>
        <v>80.304482077586172</v>
      </c>
      <c r="E97" s="168">
        <f>E92+E96</f>
        <v>0</v>
      </c>
      <c r="F97" s="168">
        <f>F92+F96</f>
        <v>13.881085315192745</v>
      </c>
      <c r="G97" s="168">
        <f>G92+G96</f>
        <v>9.7585190492586786</v>
      </c>
      <c r="H97" s="168">
        <f>H92+H96</f>
        <v>103.9440864420376</v>
      </c>
    </row>
    <row r="98" spans="1:8" ht="13.5" hidden="1" x14ac:dyDescent="0.25">
      <c r="A98" s="166"/>
      <c r="B98" s="167"/>
      <c r="C98" s="169" t="s">
        <v>73</v>
      </c>
      <c r="D98" s="168"/>
      <c r="E98" s="168"/>
      <c r="F98" s="168"/>
      <c r="G98" s="168"/>
      <c r="H98" s="168"/>
    </row>
    <row r="99" spans="1:8" ht="13.5" hidden="1" x14ac:dyDescent="0.25">
      <c r="A99" s="166"/>
      <c r="B99" s="167"/>
      <c r="C99" s="169" t="s">
        <v>74</v>
      </c>
      <c r="D99" s="170" t="e">
        <f>(#REF!+D87+D91)*1.03</f>
        <v>#REF!</v>
      </c>
      <c r="E99" s="170" t="e">
        <f>(#REF!+E87+E91)*1.03</f>
        <v>#REF!</v>
      </c>
      <c r="F99" s="170" t="e">
        <f>(#REF!+F87+F91)*1.03</f>
        <v>#REF!</v>
      </c>
      <c r="G99" s="170" t="e">
        <f>(#REF!+G87+G91)*1.03</f>
        <v>#REF!</v>
      </c>
      <c r="H99" s="170" t="e">
        <f>SUM(D99:G99)</f>
        <v>#REF!</v>
      </c>
    </row>
    <row r="100" spans="1:8" ht="13.5" hidden="1" x14ac:dyDescent="0.25">
      <c r="A100" s="166"/>
      <c r="B100" s="167"/>
      <c r="C100" s="169" t="s">
        <v>75</v>
      </c>
      <c r="D100" s="170" t="e">
        <f>#REF!*1.03</f>
        <v>#REF!</v>
      </c>
      <c r="E100" s="170" t="e">
        <f>#REF!*1.03</f>
        <v>#REF!</v>
      </c>
      <c r="F100" s="170" t="e">
        <f>#REF!*1.03</f>
        <v>#REF!</v>
      </c>
      <c r="G100" s="170" t="e">
        <f>#REF!*1.03</f>
        <v>#REF!</v>
      </c>
      <c r="H100" s="170" t="e">
        <f>SUM(D100:G100)</f>
        <v>#REF!</v>
      </c>
    </row>
    <row r="101" spans="1:8" ht="13.5" hidden="1" x14ac:dyDescent="0.25">
      <c r="A101" s="166"/>
      <c r="B101" s="167"/>
      <c r="C101" s="169" t="s">
        <v>76</v>
      </c>
      <c r="D101" s="170" t="e">
        <f>#REF!*1.03</f>
        <v>#REF!</v>
      </c>
      <c r="E101" s="170" t="e">
        <f>#REF!*1.03</f>
        <v>#REF!</v>
      </c>
      <c r="F101" s="170" t="e">
        <f>#REF!*1.03</f>
        <v>#REF!</v>
      </c>
      <c r="G101" s="170" t="e">
        <f>#REF!*1.03</f>
        <v>#REF!</v>
      </c>
      <c r="H101" s="170" t="e">
        <f>SUM(D101:G101)</f>
        <v>#REF!</v>
      </c>
    </row>
    <row r="102" spans="1:8" ht="13.5" hidden="1" x14ac:dyDescent="0.25">
      <c r="A102" s="166"/>
      <c r="B102" s="167"/>
      <c r="C102" s="169" t="s">
        <v>77</v>
      </c>
      <c r="D102" s="170" t="e">
        <f>#REF!*1.03</f>
        <v>#REF!</v>
      </c>
      <c r="E102" s="170" t="e">
        <f>#REF!*1.03</f>
        <v>#REF!</v>
      </c>
      <c r="F102" s="170" t="e">
        <f>#REF!*1.03</f>
        <v>#REF!</v>
      </c>
      <c r="G102" s="170" t="e">
        <f>#REF!*1.03</f>
        <v>#REF!</v>
      </c>
      <c r="H102" s="170" t="e">
        <f>SUM(D102:G102)</f>
        <v>#REF!</v>
      </c>
    </row>
    <row r="103" spans="1:8" ht="13.5" hidden="1" x14ac:dyDescent="0.25">
      <c r="A103" s="166"/>
      <c r="B103" s="167"/>
      <c r="C103" s="169" t="s">
        <v>78</v>
      </c>
      <c r="D103" s="170" t="e">
        <f>#REF!*1.03</f>
        <v>#REF!</v>
      </c>
      <c r="E103" s="170" t="e">
        <f>#REF!*1.03</f>
        <v>#REF!</v>
      </c>
      <c r="F103" s="170" t="e">
        <f>#REF!*1.03</f>
        <v>#REF!</v>
      </c>
      <c r="G103" s="170" t="e">
        <f>#REF!*1.03</f>
        <v>#REF!</v>
      </c>
      <c r="H103" s="170" t="e">
        <f>SUM(D103:G103)</f>
        <v>#REF!</v>
      </c>
    </row>
    <row r="104" spans="1:8" ht="19.75" customHeight="1" x14ac:dyDescent="0.25">
      <c r="A104" s="190" t="s">
        <v>53</v>
      </c>
      <c r="B104" s="190"/>
      <c r="C104" s="190"/>
      <c r="D104" s="190"/>
      <c r="E104" s="190"/>
      <c r="F104" s="190"/>
      <c r="G104" s="190"/>
      <c r="H104" s="190"/>
    </row>
    <row r="105" spans="1:8" ht="13" x14ac:dyDescent="0.25">
      <c r="A105" s="157">
        <v>11</v>
      </c>
      <c r="B105" s="158" t="s">
        <v>99</v>
      </c>
      <c r="C105" s="158" t="s">
        <v>203</v>
      </c>
      <c r="D105" s="159">
        <f>D97*0.18</f>
        <v>14.45480677396551</v>
      </c>
      <c r="E105" s="159">
        <f>E97*0.18</f>
        <v>0</v>
      </c>
      <c r="F105" s="159">
        <f>F97*0.18</f>
        <v>2.4985953567346941</v>
      </c>
      <c r="G105" s="159">
        <f>G97*0.18</f>
        <v>1.7565334288665622</v>
      </c>
      <c r="H105" s="159">
        <f>H97*0.18</f>
        <v>18.709935559566766</v>
      </c>
    </row>
    <row r="106" spans="1:8" ht="14" x14ac:dyDescent="0.25">
      <c r="A106" s="171"/>
      <c r="B106" s="162"/>
      <c r="C106" s="172" t="s">
        <v>95</v>
      </c>
      <c r="D106" s="168">
        <f>D97+D105</f>
        <v>94.759288851551688</v>
      </c>
      <c r="E106" s="168">
        <f>E97+E105</f>
        <v>0</v>
      </c>
      <c r="F106" s="168">
        <f>F97+F105</f>
        <v>16.379680671927439</v>
      </c>
      <c r="G106" s="168">
        <f>G97+G105</f>
        <v>11.515052478125241</v>
      </c>
      <c r="H106" s="168">
        <f>H97+H105</f>
        <v>122.65402200160437</v>
      </c>
    </row>
    <row r="107" spans="1:8" ht="14" hidden="1" x14ac:dyDescent="0.25">
      <c r="A107" s="13"/>
      <c r="B107" s="14"/>
      <c r="C107" s="63" t="s">
        <v>64</v>
      </c>
      <c r="D107" s="64"/>
      <c r="E107" s="64"/>
      <c r="F107" s="64" t="e">
        <f>#REF!*1.18</f>
        <v>#REF!</v>
      </c>
      <c r="G107" s="64"/>
      <c r="H107" s="65" t="e">
        <f>SUM(D107:G107)</f>
        <v>#REF!</v>
      </c>
    </row>
    <row r="108" spans="1:8" ht="14" hidden="1" x14ac:dyDescent="0.25">
      <c r="A108" s="181" t="s">
        <v>96</v>
      </c>
      <c r="B108" s="182"/>
      <c r="C108" s="182"/>
      <c r="D108" s="182"/>
      <c r="E108" s="182"/>
      <c r="F108" s="182"/>
      <c r="G108" s="182"/>
      <c r="H108" s="182"/>
    </row>
    <row r="109" spans="1:8" ht="13" hidden="1" x14ac:dyDescent="0.25">
      <c r="A109" s="66"/>
      <c r="B109" s="67"/>
      <c r="C109" s="67" t="s">
        <v>97</v>
      </c>
      <c r="D109" s="68">
        <v>540.99</v>
      </c>
      <c r="E109" s="68"/>
      <c r="F109" s="68"/>
      <c r="G109" s="68"/>
      <c r="H109" s="68">
        <f>SUM(D109:G109)</f>
        <v>540.99</v>
      </c>
    </row>
    <row r="111" spans="1:8" ht="14" x14ac:dyDescent="0.3">
      <c r="B111" s="3"/>
    </row>
    <row r="112" spans="1:8" ht="14" x14ac:dyDescent="0.3">
      <c r="B112" s="3"/>
    </row>
  </sheetData>
  <mergeCells count="28"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A54:H54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topLeftCell="A13" workbookViewId="0">
      <selection activeCell="N33" sqref="N33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8" width="15" style="31" customWidth="1"/>
    <col min="9" max="16384" width="9.1796875" style="25"/>
  </cols>
  <sheetData>
    <row r="1" spans="1:8" x14ac:dyDescent="0.25">
      <c r="D1" s="27"/>
      <c r="E1" s="27"/>
      <c r="F1" s="27"/>
      <c r="G1" s="27"/>
      <c r="H1" s="27"/>
    </row>
    <row r="2" spans="1:8" ht="52.5" customHeight="1" x14ac:dyDescent="0.25">
      <c r="B2" s="201" t="str">
        <f>'Сводка затрат'!A8</f>
        <v>Создание системы пожарной сигнализации Летнереченского участка по обслуживанию распредсетей - 1 система</v>
      </c>
      <c r="C2" s="202"/>
      <c r="D2" s="202"/>
      <c r="E2" s="202"/>
      <c r="F2" s="202"/>
      <c r="G2" s="202"/>
      <c r="H2" s="202"/>
    </row>
    <row r="3" spans="1:8" x14ac:dyDescent="0.25">
      <c r="B3" s="28"/>
      <c r="C3" s="28"/>
      <c r="D3" s="29"/>
      <c r="E3" s="30" t="s">
        <v>10</v>
      </c>
      <c r="F3" s="29"/>
      <c r="G3" s="29"/>
      <c r="H3" s="29"/>
    </row>
    <row r="4" spans="1:8" x14ac:dyDescent="0.25">
      <c r="D4" s="27"/>
      <c r="E4" s="27"/>
      <c r="F4" s="27"/>
      <c r="G4" s="27"/>
      <c r="H4" s="27"/>
    </row>
    <row r="5" spans="1:8" ht="13" x14ac:dyDescent="0.25">
      <c r="D5" s="27"/>
      <c r="E5" s="32" t="s">
        <v>115</v>
      </c>
      <c r="F5" s="27"/>
      <c r="G5" s="33"/>
      <c r="H5" s="27"/>
    </row>
    <row r="6" spans="1:8" x14ac:dyDescent="0.25">
      <c r="D6" s="27"/>
      <c r="E6" s="27" t="s">
        <v>38</v>
      </c>
      <c r="F6" s="27"/>
      <c r="G6" s="27"/>
      <c r="H6" s="27"/>
    </row>
    <row r="7" spans="1:8" x14ac:dyDescent="0.25">
      <c r="D7" s="27"/>
      <c r="E7" s="27"/>
      <c r="F7" s="27"/>
      <c r="G7" s="27"/>
      <c r="H7" s="27"/>
    </row>
    <row r="8" spans="1:8" x14ac:dyDescent="0.25">
      <c r="C8" s="34" t="s">
        <v>21</v>
      </c>
      <c r="D8" s="203" t="s">
        <v>116</v>
      </c>
      <c r="E8" s="204"/>
      <c r="F8" s="204"/>
      <c r="G8" s="204"/>
      <c r="H8" s="204"/>
    </row>
    <row r="9" spans="1:8" x14ac:dyDescent="0.25">
      <c r="D9" s="29"/>
      <c r="E9" s="30" t="s">
        <v>40</v>
      </c>
      <c r="F9" s="29"/>
      <c r="G9" s="29"/>
      <c r="H9" s="29"/>
    </row>
    <row r="10" spans="1:8" x14ac:dyDescent="0.25">
      <c r="D10" s="82"/>
      <c r="E10" s="83"/>
      <c r="F10" s="82"/>
      <c r="G10" s="82"/>
      <c r="H10" s="82"/>
    </row>
    <row r="11" spans="1:8" x14ac:dyDescent="0.25">
      <c r="D11" s="82"/>
      <c r="E11" s="83"/>
      <c r="F11" s="82"/>
      <c r="G11" s="82"/>
      <c r="H11" s="84"/>
    </row>
    <row r="12" spans="1:8" x14ac:dyDescent="0.25">
      <c r="D12" s="27"/>
      <c r="E12" s="27"/>
      <c r="F12" s="27"/>
      <c r="G12" s="27"/>
      <c r="H12" s="84">
        <v>9.56</v>
      </c>
    </row>
    <row r="13" spans="1:8" x14ac:dyDescent="0.25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0"/>
    </row>
    <row r="14" spans="1:8" ht="12.75" customHeight="1" x14ac:dyDescent="0.25">
      <c r="A14" s="196" t="s">
        <v>1</v>
      </c>
      <c r="B14" s="205" t="s">
        <v>41</v>
      </c>
      <c r="C14" s="205" t="s">
        <v>42</v>
      </c>
      <c r="D14" s="197" t="s">
        <v>110</v>
      </c>
      <c r="E14" s="197"/>
      <c r="F14" s="197"/>
      <c r="G14" s="197"/>
      <c r="H14" s="197"/>
    </row>
    <row r="15" spans="1:8" x14ac:dyDescent="0.25">
      <c r="A15" s="196"/>
      <c r="B15" s="205"/>
      <c r="C15" s="205"/>
      <c r="D15" s="196" t="s">
        <v>8</v>
      </c>
      <c r="E15" s="196" t="s">
        <v>9</v>
      </c>
      <c r="F15" s="196" t="s">
        <v>43</v>
      </c>
      <c r="G15" s="196" t="s">
        <v>17</v>
      </c>
      <c r="H15" s="196" t="s">
        <v>44</v>
      </c>
    </row>
    <row r="16" spans="1:8" x14ac:dyDescent="0.25">
      <c r="A16" s="196"/>
      <c r="B16" s="205"/>
      <c r="C16" s="205"/>
      <c r="D16" s="196"/>
      <c r="E16" s="196"/>
      <c r="F16" s="196"/>
      <c r="G16" s="196"/>
      <c r="H16" s="196"/>
    </row>
    <row r="17" spans="1:8" x14ac:dyDescent="0.25">
      <c r="A17" s="196"/>
      <c r="B17" s="205"/>
      <c r="C17" s="205"/>
      <c r="D17" s="196"/>
      <c r="E17" s="196"/>
      <c r="F17" s="196"/>
      <c r="G17" s="196"/>
      <c r="H17" s="196"/>
    </row>
    <row r="18" spans="1:8" x14ac:dyDescent="0.25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3">
      <c r="A19" s="198" t="s">
        <v>45</v>
      </c>
      <c r="B19" s="199"/>
      <c r="C19" s="199"/>
      <c r="D19" s="199"/>
      <c r="E19" s="199"/>
      <c r="F19" s="199"/>
      <c r="G19" s="199"/>
      <c r="H19" s="200"/>
    </row>
    <row r="20" spans="1:8" ht="21.75" customHeight="1" x14ac:dyDescent="0.25">
      <c r="A20" s="85">
        <v>1</v>
      </c>
      <c r="B20" s="72"/>
      <c r="C20" s="72"/>
      <c r="D20" s="43">
        <f>'Источник ценовой информации'!H12*H11</f>
        <v>0</v>
      </c>
      <c r="E20" s="43">
        <v>0</v>
      </c>
      <c r="F20" s="74">
        <f>'Источник ценовой информации'!H14*H11</f>
        <v>0</v>
      </c>
      <c r="G20" s="86">
        <f>'Источник ценовой информации'!H15*H11</f>
        <v>0</v>
      </c>
      <c r="H20" s="43">
        <f>SUM(D20:G20)</f>
        <v>0</v>
      </c>
    </row>
    <row r="21" spans="1:8" x14ac:dyDescent="0.25">
      <c r="A21" s="85">
        <v>2</v>
      </c>
      <c r="B21" s="72"/>
      <c r="C21" s="23"/>
      <c r="D21" s="41"/>
      <c r="E21" s="40"/>
      <c r="F21" s="75"/>
      <c r="G21" s="41"/>
      <c r="H21" s="43">
        <f>SUM(D21:G21)</f>
        <v>0</v>
      </c>
    </row>
    <row r="22" spans="1:8" hidden="1" x14ac:dyDescent="0.25">
      <c r="A22" s="42"/>
      <c r="B22" s="194" t="s">
        <v>46</v>
      </c>
      <c r="C22" s="195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t="13" hidden="1" x14ac:dyDescent="0.3">
      <c r="A23" s="192" t="s">
        <v>47</v>
      </c>
      <c r="B23" s="193"/>
      <c r="C23" s="193"/>
      <c r="D23" s="193"/>
      <c r="E23" s="193"/>
      <c r="F23" s="193"/>
      <c r="G23" s="193"/>
      <c r="H23" s="193"/>
    </row>
    <row r="24" spans="1:8" ht="28" hidden="1" customHeight="1" x14ac:dyDescent="0.25">
      <c r="A24" s="42"/>
      <c r="B24" s="194" t="s">
        <v>48</v>
      </c>
      <c r="C24" s="195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t="13" hidden="1" x14ac:dyDescent="0.3">
      <c r="A25" s="192" t="s">
        <v>49</v>
      </c>
      <c r="B25" s="193"/>
      <c r="C25" s="193"/>
      <c r="D25" s="193"/>
      <c r="E25" s="193"/>
      <c r="F25" s="193"/>
      <c r="G25" s="193"/>
      <c r="H25" s="193"/>
    </row>
    <row r="26" spans="1:8" ht="28" hidden="1" customHeight="1" x14ac:dyDescent="0.25">
      <c r="A26" s="42"/>
      <c r="B26" s="194" t="s">
        <v>50</v>
      </c>
      <c r="C26" s="195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t="13" hidden="1" x14ac:dyDescent="0.3">
      <c r="A27" s="192" t="s">
        <v>51</v>
      </c>
      <c r="B27" s="193"/>
      <c r="C27" s="193"/>
      <c r="D27" s="193"/>
      <c r="E27" s="193"/>
      <c r="F27" s="193"/>
      <c r="G27" s="193"/>
      <c r="H27" s="193"/>
    </row>
    <row r="28" spans="1:8" ht="210" hidden="1" customHeight="1" x14ac:dyDescent="0.25">
      <c r="A28" s="42"/>
      <c r="B28" s="194" t="s">
        <v>52</v>
      </c>
      <c r="C28" s="195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t="13" hidden="1" x14ac:dyDescent="0.3">
      <c r="A29" s="192" t="s">
        <v>53</v>
      </c>
      <c r="B29" s="193"/>
      <c r="C29" s="193"/>
      <c r="D29" s="193"/>
      <c r="E29" s="193"/>
      <c r="F29" s="193"/>
      <c r="G29" s="193"/>
      <c r="H29" s="193"/>
    </row>
    <row r="30" spans="1:8" ht="12.75" customHeight="1" x14ac:dyDescent="0.25">
      <c r="A30" s="42"/>
      <c r="B30" s="206" t="s">
        <v>54</v>
      </c>
      <c r="C30" s="207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30:C30"/>
    <mergeCell ref="B24:C24"/>
    <mergeCell ref="A25:H25"/>
    <mergeCell ref="B26:C26"/>
    <mergeCell ref="A27:H27"/>
    <mergeCell ref="A29:H29"/>
    <mergeCell ref="B28:C28"/>
    <mergeCell ref="B2:H2"/>
    <mergeCell ref="D8:H8"/>
    <mergeCell ref="A14:A17"/>
    <mergeCell ref="B14:B17"/>
    <mergeCell ref="C14:C17"/>
    <mergeCell ref="D15:D17"/>
    <mergeCell ref="A23:H23"/>
    <mergeCell ref="B22:C22"/>
    <mergeCell ref="H15:H17"/>
    <mergeCell ref="D14:H14"/>
    <mergeCell ref="A19:H19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topLeftCell="A7" zoomScaleNormal="100" workbookViewId="0">
      <selection activeCell="F27" sqref="F27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8" width="15" style="31" customWidth="1"/>
    <col min="9" max="16384" width="9.1796875" style="25"/>
  </cols>
  <sheetData>
    <row r="1" spans="1:8" x14ac:dyDescent="0.25">
      <c r="D1" s="27"/>
      <c r="E1" s="27"/>
      <c r="F1" s="27"/>
      <c r="G1" s="27"/>
      <c r="H1" s="27"/>
    </row>
    <row r="2" spans="1:8" ht="52.5" customHeight="1" x14ac:dyDescent="0.25">
      <c r="B2" s="201" t="str">
        <f>'Объектный сметный расчет '!B2</f>
        <v>Создание системы пожарной сигнализации Летнереченского участка по обслуживанию распредсетей - 1 система</v>
      </c>
      <c r="C2" s="202"/>
      <c r="D2" s="202"/>
      <c r="E2" s="202"/>
      <c r="F2" s="202"/>
      <c r="G2" s="202"/>
      <c r="H2" s="202"/>
    </row>
    <row r="3" spans="1:8" x14ac:dyDescent="0.25">
      <c r="B3" s="28"/>
      <c r="C3" s="28"/>
      <c r="D3" s="29"/>
      <c r="E3" s="30" t="s">
        <v>10</v>
      </c>
      <c r="F3" s="29"/>
      <c r="G3" s="29"/>
      <c r="H3" s="29"/>
    </row>
    <row r="4" spans="1:8" x14ac:dyDescent="0.25">
      <c r="D4" s="27"/>
      <c r="E4" s="27"/>
      <c r="F4" s="27"/>
      <c r="G4" s="27"/>
      <c r="H4" s="27"/>
    </row>
    <row r="5" spans="1:8" ht="13" x14ac:dyDescent="0.25">
      <c r="D5" s="27"/>
      <c r="E5" s="32" t="s">
        <v>108</v>
      </c>
      <c r="F5" s="27"/>
      <c r="G5" s="33"/>
      <c r="H5" s="27"/>
    </row>
    <row r="6" spans="1:8" x14ac:dyDescent="0.25">
      <c r="D6" s="27"/>
      <c r="E6" s="27" t="s">
        <v>38</v>
      </c>
      <c r="F6" s="27"/>
      <c r="G6" s="27"/>
      <c r="H6" s="27"/>
    </row>
    <row r="7" spans="1:8" x14ac:dyDescent="0.25">
      <c r="D7" s="27"/>
      <c r="E7" s="27"/>
      <c r="F7" s="27"/>
      <c r="G7" s="27"/>
      <c r="H7" s="27"/>
    </row>
    <row r="8" spans="1:8" x14ac:dyDescent="0.25">
      <c r="C8" s="34" t="s">
        <v>21</v>
      </c>
      <c r="D8" s="203" t="s">
        <v>39</v>
      </c>
      <c r="E8" s="204"/>
      <c r="F8" s="204"/>
      <c r="G8" s="204"/>
      <c r="H8" s="204"/>
    </row>
    <row r="9" spans="1:8" x14ac:dyDescent="0.25">
      <c r="D9" s="29"/>
      <c r="E9" s="30" t="s">
        <v>40</v>
      </c>
      <c r="F9" s="29"/>
      <c r="G9" s="29"/>
      <c r="H9" s="29"/>
    </row>
    <row r="10" spans="1:8" x14ac:dyDescent="0.25">
      <c r="D10" s="82"/>
      <c r="E10" s="83"/>
      <c r="F10" s="82"/>
      <c r="G10" s="82"/>
      <c r="H10" s="82"/>
    </row>
    <row r="11" spans="1:8" x14ac:dyDescent="0.25">
      <c r="D11" s="82"/>
      <c r="E11" s="83"/>
      <c r="F11" s="82"/>
      <c r="G11" s="82"/>
      <c r="H11" s="84"/>
    </row>
    <row r="12" spans="1:8" x14ac:dyDescent="0.25">
      <c r="D12" s="27"/>
      <c r="E12" s="27"/>
      <c r="F12" s="27"/>
      <c r="G12" s="36"/>
      <c r="H12" s="80"/>
    </row>
    <row r="13" spans="1:8" x14ac:dyDescent="0.25">
      <c r="D13" s="27"/>
      <c r="E13" s="27"/>
      <c r="F13" s="208" t="s">
        <v>204</v>
      </c>
      <c r="G13" s="209"/>
      <c r="H13" s="84">
        <f>9.56</f>
        <v>9.56</v>
      </c>
    </row>
    <row r="14" spans="1:8" x14ac:dyDescent="0.25">
      <c r="D14" s="27"/>
      <c r="E14" s="27"/>
      <c r="F14" s="27"/>
      <c r="G14" s="36"/>
      <c r="H14" s="80"/>
    </row>
    <row r="15" spans="1:8" x14ac:dyDescent="0.25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1"/>
    </row>
    <row r="16" spans="1:8" ht="12.75" customHeight="1" x14ac:dyDescent="0.25">
      <c r="A16" s="196" t="s">
        <v>1</v>
      </c>
      <c r="B16" s="205" t="s">
        <v>41</v>
      </c>
      <c r="C16" s="205" t="s">
        <v>42</v>
      </c>
      <c r="D16" s="197" t="s">
        <v>110</v>
      </c>
      <c r="E16" s="197"/>
      <c r="F16" s="197"/>
      <c r="G16" s="197"/>
      <c r="H16" s="197"/>
    </row>
    <row r="17" spans="1:8" x14ac:dyDescent="0.25">
      <c r="A17" s="196"/>
      <c r="B17" s="205"/>
      <c r="C17" s="205"/>
      <c r="D17" s="196" t="s">
        <v>8</v>
      </c>
      <c r="E17" s="196" t="s">
        <v>9</v>
      </c>
      <c r="F17" s="196" t="s">
        <v>43</v>
      </c>
      <c r="G17" s="196" t="s">
        <v>17</v>
      </c>
      <c r="H17" s="196" t="s">
        <v>44</v>
      </c>
    </row>
    <row r="18" spans="1:8" x14ac:dyDescent="0.25">
      <c r="A18" s="196"/>
      <c r="B18" s="205"/>
      <c r="C18" s="205"/>
      <c r="D18" s="196"/>
      <c r="E18" s="196"/>
      <c r="F18" s="196"/>
      <c r="G18" s="196"/>
      <c r="H18" s="196"/>
    </row>
    <row r="19" spans="1:8" x14ac:dyDescent="0.25">
      <c r="A19" s="196"/>
      <c r="B19" s="205"/>
      <c r="C19" s="205"/>
      <c r="D19" s="196"/>
      <c r="E19" s="196"/>
      <c r="F19" s="196"/>
      <c r="G19" s="196"/>
      <c r="H19" s="196"/>
    </row>
    <row r="20" spans="1:8" x14ac:dyDescent="0.25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3">
      <c r="A21" s="198" t="s">
        <v>45</v>
      </c>
      <c r="B21" s="199"/>
      <c r="C21" s="199"/>
      <c r="D21" s="199"/>
      <c r="E21" s="199"/>
      <c r="F21" s="199"/>
      <c r="G21" s="199"/>
      <c r="H21" s="200"/>
    </row>
    <row r="22" spans="1:8" ht="36" hidden="1" customHeight="1" x14ac:dyDescent="0.25">
      <c r="A22" s="85">
        <v>1</v>
      </c>
      <c r="B22" s="72" t="str">
        <f>'Источник ценовой информации'!B5</f>
        <v xml:space="preserve"> 02-01-01</v>
      </c>
      <c r="C22" s="145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4">
        <f>'Источник ценовой информации'!H21</f>
        <v>0</v>
      </c>
      <c r="G22" s="86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5">
      <c r="A23" s="85">
        <v>2</v>
      </c>
      <c r="B23" s="72" t="str">
        <f>'Источник ценовой информации'!B6</f>
        <v xml:space="preserve"> 02-01-02</v>
      </c>
      <c r="C23" s="145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4">
        <f>'Источник ценовой информации'!H28*H11</f>
        <v>0</v>
      </c>
      <c r="G23" s="86">
        <f>'Источник ценовой информации'!H29</f>
        <v>0</v>
      </c>
      <c r="H23" s="43">
        <f>SUM(D23:G23)</f>
        <v>0</v>
      </c>
    </row>
    <row r="24" spans="1:8" ht="36" customHeight="1" x14ac:dyDescent="0.25">
      <c r="A24" s="85">
        <v>1</v>
      </c>
      <c r="B24" s="147" t="s">
        <v>216</v>
      </c>
      <c r="C24" s="148" t="s">
        <v>217</v>
      </c>
      <c r="D24" s="43">
        <f>340198/44.1*H13/1000</f>
        <v>73.748137868480725</v>
      </c>
      <c r="E24" s="43">
        <f>'Источник ценовой информации'!H34*H13</f>
        <v>0</v>
      </c>
      <c r="F24" s="74">
        <f>62168/44.1*H13/1000</f>
        <v>13.476781859410432</v>
      </c>
      <c r="G24" s="86">
        <f>'Источник ценовой информации'!H36</f>
        <v>0</v>
      </c>
      <c r="H24" s="43">
        <f>SUM(D24:G24)</f>
        <v>87.224919727891162</v>
      </c>
    </row>
    <row r="25" spans="1:8" ht="36" hidden="1" customHeight="1" x14ac:dyDescent="0.25">
      <c r="A25" s="85">
        <v>4</v>
      </c>
      <c r="B25" s="72" t="str">
        <f>'Источник ценовой информации'!B8</f>
        <v xml:space="preserve"> 02-01-04</v>
      </c>
      <c r="C25" s="145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4">
        <f>'Источник ценовой информации'!H42*H14</f>
        <v>0</v>
      </c>
      <c r="G25" s="86">
        <f>'Источник ценовой информации'!H43</f>
        <v>0</v>
      </c>
      <c r="H25" s="43">
        <f>SUM(D25:G25)</f>
        <v>0</v>
      </c>
    </row>
    <row r="26" spans="1:8" hidden="1" x14ac:dyDescent="0.25">
      <c r="A26" s="42"/>
      <c r="B26" s="194" t="s">
        <v>46</v>
      </c>
      <c r="C26" s="195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5">
      <c r="A27" s="42"/>
      <c r="B27" s="206" t="s">
        <v>54</v>
      </c>
      <c r="C27" s="207"/>
      <c r="D27" s="43">
        <f>SUM(D22:D25)</f>
        <v>73.748137868480725</v>
      </c>
      <c r="E27" s="43">
        <f>SUM(E22:E25)</f>
        <v>0</v>
      </c>
      <c r="F27" s="43">
        <f>SUM(F22:F25)</f>
        <v>13.476781859410432</v>
      </c>
      <c r="G27" s="43">
        <f>SUM(G22:G25)</f>
        <v>0</v>
      </c>
      <c r="H27" s="43">
        <f>SUM(D27:G27)</f>
        <v>87.224919727891162</v>
      </c>
    </row>
  </sheetData>
  <mergeCells count="15"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  <mergeCell ref="F13:G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P45" sqref="P45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16384" width="9.1796875" style="25"/>
  </cols>
  <sheetData>
    <row r="1" spans="1:7" x14ac:dyDescent="0.25">
      <c r="D1" s="27"/>
      <c r="E1" s="27"/>
      <c r="F1" s="27"/>
      <c r="G1" s="27"/>
    </row>
    <row r="2" spans="1:7" ht="52.5" customHeight="1" x14ac:dyDescent="0.25">
      <c r="B2" s="201" t="str">
        <f>'Объектный сметный расчет 2-12'!B2</f>
        <v>Создание системы пожарной сигнализации Летнереченского участка по обслуживанию распредсетей - 1 система</v>
      </c>
      <c r="C2" s="202"/>
      <c r="D2" s="202"/>
      <c r="E2" s="202"/>
      <c r="F2" s="202"/>
      <c r="G2" s="202"/>
    </row>
    <row r="3" spans="1:7" x14ac:dyDescent="0.25">
      <c r="B3" s="28"/>
      <c r="C3" s="28"/>
      <c r="D3" s="29"/>
      <c r="E3" s="30" t="s">
        <v>10</v>
      </c>
      <c r="F3" s="29"/>
      <c r="G3" s="29"/>
    </row>
    <row r="4" spans="1:7" x14ac:dyDescent="0.25">
      <c r="D4" s="27"/>
      <c r="E4" s="27"/>
      <c r="F4" s="27"/>
      <c r="G4" s="27"/>
    </row>
    <row r="5" spans="1:7" ht="13" x14ac:dyDescent="0.25">
      <c r="D5" s="27"/>
      <c r="E5" s="32" t="s">
        <v>117</v>
      </c>
      <c r="F5" s="27"/>
      <c r="G5" s="33"/>
    </row>
    <row r="6" spans="1:7" x14ac:dyDescent="0.25">
      <c r="D6" s="27"/>
      <c r="E6" s="27" t="s">
        <v>38</v>
      </c>
      <c r="F6" s="27"/>
      <c r="G6" s="27"/>
    </row>
    <row r="7" spans="1:7" x14ac:dyDescent="0.25">
      <c r="D7" s="27"/>
      <c r="E7" s="27"/>
      <c r="F7" s="27"/>
      <c r="G7" s="27"/>
    </row>
    <row r="8" spans="1:7" x14ac:dyDescent="0.25">
      <c r="C8" s="34" t="s">
        <v>21</v>
      </c>
      <c r="D8" s="203" t="s">
        <v>109</v>
      </c>
      <c r="E8" s="204"/>
      <c r="F8" s="204"/>
      <c r="G8" s="204"/>
    </row>
    <row r="9" spans="1:7" x14ac:dyDescent="0.25">
      <c r="D9" s="29"/>
      <c r="E9" s="30" t="s">
        <v>40</v>
      </c>
      <c r="F9" s="29"/>
      <c r="G9" s="29"/>
    </row>
    <row r="10" spans="1:7" x14ac:dyDescent="0.25">
      <c r="D10" s="82"/>
      <c r="E10" s="83"/>
      <c r="F10" s="82"/>
      <c r="G10" s="82"/>
    </row>
    <row r="11" spans="1:7" x14ac:dyDescent="0.25">
      <c r="D11" s="82"/>
      <c r="E11" s="83"/>
      <c r="F11" s="82"/>
      <c r="G11" s="84">
        <v>9.56</v>
      </c>
    </row>
    <row r="12" spans="1:7" x14ac:dyDescent="0.25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0"/>
    </row>
    <row r="13" spans="1:7" x14ac:dyDescent="0.25">
      <c r="D13" s="27"/>
      <c r="E13" s="27"/>
      <c r="F13" s="36"/>
      <c r="G13" s="81"/>
    </row>
    <row r="14" spans="1:7" ht="12.75" customHeight="1" x14ac:dyDescent="0.25">
      <c r="A14" s="196" t="s">
        <v>1</v>
      </c>
      <c r="B14" s="205" t="s">
        <v>41</v>
      </c>
      <c r="C14" s="205" t="s">
        <v>42</v>
      </c>
      <c r="D14" s="197" t="s">
        <v>110</v>
      </c>
      <c r="E14" s="197"/>
      <c r="F14" s="197"/>
      <c r="G14" s="197"/>
    </row>
    <row r="15" spans="1:7" x14ac:dyDescent="0.25">
      <c r="A15" s="196"/>
      <c r="B15" s="205"/>
      <c r="C15" s="205"/>
      <c r="D15" s="196" t="s">
        <v>8</v>
      </c>
      <c r="E15" s="196" t="s">
        <v>9</v>
      </c>
      <c r="F15" s="196" t="s">
        <v>43</v>
      </c>
      <c r="G15" s="196" t="s">
        <v>17</v>
      </c>
    </row>
    <row r="16" spans="1:7" x14ac:dyDescent="0.25">
      <c r="A16" s="196"/>
      <c r="B16" s="205"/>
      <c r="C16" s="205"/>
      <c r="D16" s="196"/>
      <c r="E16" s="196"/>
      <c r="F16" s="196"/>
      <c r="G16" s="196"/>
    </row>
    <row r="17" spans="1:7" x14ac:dyDescent="0.25">
      <c r="A17" s="196"/>
      <c r="B17" s="205"/>
      <c r="C17" s="205"/>
      <c r="D17" s="196"/>
      <c r="E17" s="196"/>
      <c r="F17" s="196"/>
      <c r="G17" s="196"/>
    </row>
    <row r="18" spans="1:7" x14ac:dyDescent="0.25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3">
      <c r="A19" s="198" t="s">
        <v>45</v>
      </c>
      <c r="B19" s="199"/>
      <c r="C19" s="199"/>
      <c r="D19" s="199"/>
      <c r="E19" s="199"/>
      <c r="F19" s="199"/>
      <c r="G19" s="200"/>
    </row>
    <row r="20" spans="1:7" x14ac:dyDescent="0.25">
      <c r="A20" s="85">
        <v>1</v>
      </c>
      <c r="B20" s="79" t="str">
        <f>'Источник ценовой информации'!B9</f>
        <v xml:space="preserve"> 09-01-01</v>
      </c>
      <c r="C20" s="78" t="str">
        <f>'Источник ценовой информации'!C9</f>
        <v>ПНР</v>
      </c>
      <c r="D20" s="40"/>
      <c r="E20" s="40"/>
      <c r="F20" s="74">
        <v>0</v>
      </c>
      <c r="G20" s="43">
        <f>SUM(C20:F20)</f>
        <v>0</v>
      </c>
    </row>
    <row r="21" spans="1:7" hidden="1" x14ac:dyDescent="0.25">
      <c r="A21" s="85">
        <v>2</v>
      </c>
      <c r="B21" s="72"/>
      <c r="C21" s="79"/>
      <c r="D21" s="40"/>
      <c r="E21" s="40"/>
      <c r="F21" s="74"/>
      <c r="G21" s="41"/>
    </row>
    <row r="22" spans="1:7" hidden="1" x14ac:dyDescent="0.25">
      <c r="A22" s="85">
        <v>3</v>
      </c>
      <c r="B22" s="91"/>
      <c r="C22" s="78"/>
      <c r="D22" s="40"/>
      <c r="E22" s="40"/>
      <c r="F22" s="74"/>
      <c r="G22" s="41"/>
    </row>
    <row r="23" spans="1:7" hidden="1" x14ac:dyDescent="0.25">
      <c r="A23" s="85">
        <v>4</v>
      </c>
      <c r="B23" s="72"/>
      <c r="C23" s="78"/>
      <c r="D23" s="40"/>
      <c r="E23" s="40"/>
      <c r="F23" s="74"/>
      <c r="G23" s="41"/>
    </row>
    <row r="24" spans="1:7" hidden="1" x14ac:dyDescent="0.25">
      <c r="A24" s="42"/>
      <c r="B24" s="194" t="s">
        <v>46</v>
      </c>
      <c r="C24" s="195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t="13" hidden="1" x14ac:dyDescent="0.3">
      <c r="A25" s="192" t="s">
        <v>47</v>
      </c>
      <c r="B25" s="193"/>
      <c r="C25" s="193"/>
      <c r="D25" s="193"/>
      <c r="E25" s="193"/>
      <c r="F25" s="193"/>
      <c r="G25" s="193"/>
    </row>
    <row r="26" spans="1:7" ht="28" hidden="1" customHeight="1" x14ac:dyDescent="0.25">
      <c r="A26" s="42"/>
      <c r="B26" s="194" t="s">
        <v>48</v>
      </c>
      <c r="C26" s="195"/>
      <c r="D26" s="40">
        <v>1713090.93</v>
      </c>
      <c r="E26" s="40">
        <v>2358456.96</v>
      </c>
      <c r="F26" s="40">
        <v>61618583.939999998</v>
      </c>
      <c r="G26" s="41"/>
    </row>
    <row r="27" spans="1:7" ht="13" hidden="1" x14ac:dyDescent="0.3">
      <c r="A27" s="192" t="s">
        <v>49</v>
      </c>
      <c r="B27" s="193"/>
      <c r="C27" s="193"/>
      <c r="D27" s="193"/>
      <c r="E27" s="193"/>
      <c r="F27" s="193"/>
      <c r="G27" s="193"/>
    </row>
    <row r="28" spans="1:7" ht="28" hidden="1" customHeight="1" x14ac:dyDescent="0.25">
      <c r="A28" s="42"/>
      <c r="B28" s="194" t="s">
        <v>50</v>
      </c>
      <c r="C28" s="195"/>
      <c r="D28" s="40">
        <v>1713090.93</v>
      </c>
      <c r="E28" s="40">
        <v>2358456.96</v>
      </c>
      <c r="F28" s="40">
        <v>61618583.939999998</v>
      </c>
      <c r="G28" s="41"/>
    </row>
    <row r="29" spans="1:7" ht="13" hidden="1" x14ac:dyDescent="0.3">
      <c r="A29" s="192" t="s">
        <v>51</v>
      </c>
      <c r="B29" s="193"/>
      <c r="C29" s="193"/>
      <c r="D29" s="193"/>
      <c r="E29" s="193"/>
      <c r="F29" s="193"/>
      <c r="G29" s="193"/>
    </row>
    <row r="30" spans="1:7" ht="210" hidden="1" customHeight="1" x14ac:dyDescent="0.25">
      <c r="A30" s="42"/>
      <c r="B30" s="194" t="s">
        <v>52</v>
      </c>
      <c r="C30" s="195"/>
      <c r="D30" s="40">
        <v>1713090.93</v>
      </c>
      <c r="E30" s="40">
        <v>2358456.96</v>
      </c>
      <c r="F30" s="40">
        <v>61618583.939999998</v>
      </c>
      <c r="G30" s="41"/>
    </row>
    <row r="31" spans="1:7" ht="13" hidden="1" x14ac:dyDescent="0.3">
      <c r="A31" s="192" t="s">
        <v>53</v>
      </c>
      <c r="B31" s="193"/>
      <c r="C31" s="193"/>
      <c r="D31" s="193"/>
      <c r="E31" s="193"/>
      <c r="F31" s="193"/>
      <c r="G31" s="193"/>
    </row>
    <row r="32" spans="1:7" ht="12.75" customHeight="1" x14ac:dyDescent="0.25">
      <c r="A32" s="42"/>
      <c r="B32" s="206" t="s">
        <v>54</v>
      </c>
      <c r="C32" s="207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5" x14ac:dyDescent="0.25"/>
  <cols>
    <col min="2" max="2" width="16.7265625" customWidth="1"/>
    <col min="3" max="3" width="31.26953125" customWidth="1"/>
    <col min="4" max="4" width="26.81640625" customWidth="1"/>
    <col min="5" max="5" width="18.7265625" customWidth="1"/>
    <col min="6" max="6" width="20.54296875" customWidth="1"/>
    <col min="7" max="7" width="21" customWidth="1"/>
    <col min="8" max="8" width="19.453125" customWidth="1"/>
    <col min="9" max="9" width="33.1796875" customWidth="1"/>
    <col min="10" max="10" width="9.54296875" customWidth="1"/>
  </cols>
  <sheetData>
    <row r="2" spans="1:9" ht="15" customHeight="1" x14ac:dyDescent="0.25">
      <c r="A2" t="s">
        <v>173</v>
      </c>
      <c r="B2" t="s">
        <v>218</v>
      </c>
      <c r="H2" s="70"/>
      <c r="I2" s="71"/>
    </row>
    <row r="3" spans="1:9" ht="23" x14ac:dyDescent="0.25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3" customFormat="1" ht="75.75" customHeight="1" x14ac:dyDescent="0.25">
      <c r="A4" s="72">
        <v>1</v>
      </c>
      <c r="B4" s="72" t="s">
        <v>220</v>
      </c>
      <c r="C4" s="72" t="s">
        <v>217</v>
      </c>
      <c r="D4" s="72" t="s">
        <v>222</v>
      </c>
      <c r="E4" s="144">
        <f>402366/1000</f>
        <v>402.36599999999999</v>
      </c>
      <c r="F4" s="92" t="s">
        <v>219</v>
      </c>
      <c r="G4" s="92">
        <v>44.1</v>
      </c>
      <c r="H4" s="76">
        <f>E4/G4</f>
        <v>9.1239455782312913</v>
      </c>
      <c r="I4" s="72" t="s">
        <v>251</v>
      </c>
    </row>
    <row r="5" spans="1:9" s="93" customFormat="1" ht="75.75" hidden="1" customHeight="1" x14ac:dyDescent="0.25">
      <c r="A5" s="72">
        <v>2</v>
      </c>
      <c r="B5" s="72" t="s">
        <v>179</v>
      </c>
      <c r="C5" s="72" t="s">
        <v>180</v>
      </c>
      <c r="D5" s="72" t="s">
        <v>181</v>
      </c>
      <c r="E5" s="144">
        <v>0</v>
      </c>
      <c r="F5" s="92" t="s">
        <v>177</v>
      </c>
      <c r="G5" s="92">
        <v>6</v>
      </c>
      <c r="H5" s="76">
        <f>E5/G5</f>
        <v>0</v>
      </c>
      <c r="I5" s="72" t="s">
        <v>178</v>
      </c>
    </row>
    <row r="6" spans="1:9" s="93" customFormat="1" ht="75.75" hidden="1" customHeight="1" x14ac:dyDescent="0.25">
      <c r="A6" s="72">
        <v>3</v>
      </c>
      <c r="B6" s="72" t="s">
        <v>175</v>
      </c>
      <c r="C6" s="72" t="s">
        <v>174</v>
      </c>
      <c r="D6" s="72" t="s">
        <v>176</v>
      </c>
      <c r="E6" s="144">
        <v>0</v>
      </c>
      <c r="F6" s="92" t="s">
        <v>177</v>
      </c>
      <c r="G6" s="92">
        <v>6</v>
      </c>
      <c r="H6" s="76">
        <f>E6/G6</f>
        <v>0</v>
      </c>
      <c r="I6" s="72" t="s">
        <v>178</v>
      </c>
    </row>
    <row r="7" spans="1:9" s="93" customFormat="1" ht="75.75" hidden="1" customHeight="1" x14ac:dyDescent="0.25">
      <c r="A7" s="72">
        <v>4</v>
      </c>
      <c r="B7" s="72" t="s">
        <v>183</v>
      </c>
      <c r="C7" s="72" t="s">
        <v>182</v>
      </c>
      <c r="D7" s="72" t="s">
        <v>184</v>
      </c>
      <c r="E7" s="144">
        <v>0</v>
      </c>
      <c r="F7" s="92" t="s">
        <v>177</v>
      </c>
      <c r="G7" s="92">
        <v>2</v>
      </c>
      <c r="H7" s="76">
        <f>E7/G7</f>
        <v>0</v>
      </c>
      <c r="I7" s="72" t="s">
        <v>178</v>
      </c>
    </row>
    <row r="8" spans="1:9" s="93" customFormat="1" ht="75.75" hidden="1" customHeight="1" x14ac:dyDescent="0.25">
      <c r="A8" s="72">
        <v>5</v>
      </c>
      <c r="B8" s="72" t="s">
        <v>187</v>
      </c>
      <c r="C8" s="72" t="s">
        <v>185</v>
      </c>
      <c r="D8" s="72" t="s">
        <v>186</v>
      </c>
      <c r="E8" s="144">
        <v>0</v>
      </c>
      <c r="F8" s="92" t="s">
        <v>177</v>
      </c>
      <c r="G8" s="92">
        <v>2</v>
      </c>
      <c r="H8" s="76">
        <f>E8/G8</f>
        <v>0</v>
      </c>
      <c r="I8" s="72" t="s">
        <v>178</v>
      </c>
    </row>
    <row r="9" spans="1:9" s="93" customFormat="1" ht="75.75" hidden="1" customHeight="1" x14ac:dyDescent="0.25">
      <c r="A9" s="72">
        <v>6</v>
      </c>
      <c r="B9" s="72" t="s">
        <v>188</v>
      </c>
      <c r="C9" s="72" t="s">
        <v>194</v>
      </c>
      <c r="D9" s="72" t="s">
        <v>176</v>
      </c>
      <c r="E9" s="144">
        <v>178628</v>
      </c>
      <c r="F9" s="92" t="s">
        <v>177</v>
      </c>
      <c r="G9" s="92">
        <v>6</v>
      </c>
      <c r="H9" s="76">
        <v>0</v>
      </c>
      <c r="I9" s="72" t="s">
        <v>178</v>
      </c>
    </row>
    <row r="10" spans="1:9" s="93" customFormat="1" x14ac:dyDescent="0.25"/>
    <row r="11" spans="1:9" s="93" customFormat="1" x14ac:dyDescent="0.25">
      <c r="H11" s="146" t="s">
        <v>221</v>
      </c>
    </row>
    <row r="12" spans="1:9" s="93" customFormat="1" x14ac:dyDescent="0.25">
      <c r="H12" s="95">
        <f>340198/44.1/1000</f>
        <v>7.7142403628117906</v>
      </c>
      <c r="I12" s="94" t="s">
        <v>55</v>
      </c>
    </row>
    <row r="13" spans="1:9" s="93" customFormat="1" x14ac:dyDescent="0.25">
      <c r="H13" s="95"/>
      <c r="I13" s="94" t="s">
        <v>56</v>
      </c>
    </row>
    <row r="14" spans="1:9" s="93" customFormat="1" x14ac:dyDescent="0.25">
      <c r="H14" s="95">
        <f>62168/44.1/1000</f>
        <v>1.4097052154195011</v>
      </c>
      <c r="I14" s="94" t="s">
        <v>98</v>
      </c>
    </row>
    <row r="15" spans="1:9" s="93" customFormat="1" x14ac:dyDescent="0.25">
      <c r="H15" s="95"/>
      <c r="I15" s="94" t="s">
        <v>112</v>
      </c>
    </row>
    <row r="16" spans="1:9" s="93" customFormat="1" x14ac:dyDescent="0.25">
      <c r="H16" s="95">
        <f>SUM(H12:H15)</f>
        <v>9.1239455782312913</v>
      </c>
      <c r="I16" s="94" t="s">
        <v>59</v>
      </c>
    </row>
    <row r="18" spans="8:9" hidden="1" x14ac:dyDescent="0.25">
      <c r="H18" s="146" t="s">
        <v>189</v>
      </c>
    </row>
    <row r="19" spans="8:9" hidden="1" x14ac:dyDescent="0.25">
      <c r="H19" s="95">
        <v>0</v>
      </c>
      <c r="I19" s="94" t="s">
        <v>55</v>
      </c>
    </row>
    <row r="20" spans="8:9" hidden="1" x14ac:dyDescent="0.25">
      <c r="H20" s="95"/>
      <c r="I20" s="94" t="s">
        <v>56</v>
      </c>
    </row>
    <row r="21" spans="8:9" hidden="1" x14ac:dyDescent="0.25">
      <c r="H21" s="95"/>
      <c r="I21" s="94" t="s">
        <v>98</v>
      </c>
    </row>
    <row r="22" spans="8:9" hidden="1" x14ac:dyDescent="0.25">
      <c r="H22" s="95"/>
      <c r="I22" s="94" t="s">
        <v>112</v>
      </c>
    </row>
    <row r="23" spans="8:9" hidden="1" x14ac:dyDescent="0.25">
      <c r="H23" s="95">
        <f>SUM(H19:H22)</f>
        <v>0</v>
      </c>
      <c r="I23" s="94" t="s">
        <v>59</v>
      </c>
    </row>
    <row r="24" spans="8:9" hidden="1" x14ac:dyDescent="0.25"/>
    <row r="25" spans="8:9" hidden="1" x14ac:dyDescent="0.25">
      <c r="H25" s="146" t="s">
        <v>190</v>
      </c>
    </row>
    <row r="26" spans="8:9" hidden="1" x14ac:dyDescent="0.25">
      <c r="H26" s="95"/>
      <c r="I26" s="94" t="s">
        <v>55</v>
      </c>
    </row>
    <row r="27" spans="8:9" hidden="1" x14ac:dyDescent="0.25">
      <c r="H27" s="95">
        <v>0</v>
      </c>
      <c r="I27" s="94" t="s">
        <v>56</v>
      </c>
    </row>
    <row r="28" spans="8:9" hidden="1" x14ac:dyDescent="0.25">
      <c r="H28" s="95">
        <v>0</v>
      </c>
      <c r="I28" s="94" t="s">
        <v>98</v>
      </c>
    </row>
    <row r="29" spans="8:9" hidden="1" x14ac:dyDescent="0.25">
      <c r="H29" s="95"/>
      <c r="I29" s="94" t="s">
        <v>112</v>
      </c>
    </row>
    <row r="30" spans="8:9" hidden="1" x14ac:dyDescent="0.25">
      <c r="H30" s="95">
        <v>0</v>
      </c>
      <c r="I30" s="94" t="s">
        <v>59</v>
      </c>
    </row>
    <row r="31" spans="8:9" hidden="1" x14ac:dyDescent="0.25"/>
    <row r="32" spans="8:9" hidden="1" x14ac:dyDescent="0.25">
      <c r="H32" s="146" t="s">
        <v>191</v>
      </c>
    </row>
    <row r="33" spans="8:9" hidden="1" x14ac:dyDescent="0.25">
      <c r="H33" s="95"/>
      <c r="I33" s="94" t="s">
        <v>55</v>
      </c>
    </row>
    <row r="34" spans="8:9" hidden="1" x14ac:dyDescent="0.25">
      <c r="H34" s="95">
        <v>0</v>
      </c>
      <c r="I34" s="94" t="s">
        <v>56</v>
      </c>
    </row>
    <row r="35" spans="8:9" hidden="1" x14ac:dyDescent="0.25">
      <c r="H35" s="95">
        <v>0</v>
      </c>
      <c r="I35" s="94" t="s">
        <v>98</v>
      </c>
    </row>
    <row r="36" spans="8:9" hidden="1" x14ac:dyDescent="0.25">
      <c r="H36" s="95"/>
      <c r="I36" s="94" t="s">
        <v>112</v>
      </c>
    </row>
    <row r="37" spans="8:9" hidden="1" x14ac:dyDescent="0.25">
      <c r="H37" s="95">
        <f>SUM(H33:H36)</f>
        <v>0</v>
      </c>
      <c r="I37" s="94" t="s">
        <v>59</v>
      </c>
    </row>
    <row r="38" spans="8:9" hidden="1" x14ac:dyDescent="0.25"/>
    <row r="39" spans="8:9" hidden="1" x14ac:dyDescent="0.25">
      <c r="H39" s="146" t="s">
        <v>192</v>
      </c>
    </row>
    <row r="40" spans="8:9" hidden="1" x14ac:dyDescent="0.25">
      <c r="H40" s="95"/>
      <c r="I40" s="94" t="s">
        <v>55</v>
      </c>
    </row>
    <row r="41" spans="8:9" hidden="1" x14ac:dyDescent="0.25">
      <c r="H41" s="95">
        <v>0</v>
      </c>
      <c r="I41" s="94" t="s">
        <v>56</v>
      </c>
    </row>
    <row r="42" spans="8:9" hidden="1" x14ac:dyDescent="0.25">
      <c r="H42" s="95">
        <v>0</v>
      </c>
      <c r="I42" s="94" t="s">
        <v>98</v>
      </c>
    </row>
    <row r="43" spans="8:9" hidden="1" x14ac:dyDescent="0.25">
      <c r="H43" s="95"/>
      <c r="I43" s="94" t="s">
        <v>112</v>
      </c>
    </row>
    <row r="44" spans="8:9" hidden="1" x14ac:dyDescent="0.25">
      <c r="H44" s="95">
        <f>SUM(H40:H43)</f>
        <v>0</v>
      </c>
      <c r="I44" s="94" t="s">
        <v>59</v>
      </c>
    </row>
    <row r="45" spans="8:9" hidden="1" x14ac:dyDescent="0.25"/>
    <row r="46" spans="8:9" hidden="1" x14ac:dyDescent="0.25">
      <c r="H46" s="146" t="s">
        <v>193</v>
      </c>
    </row>
    <row r="47" spans="8:9" hidden="1" x14ac:dyDescent="0.25">
      <c r="H47" s="95"/>
      <c r="I47" s="94" t="s">
        <v>55</v>
      </c>
    </row>
    <row r="48" spans="8:9" hidden="1" x14ac:dyDescent="0.25">
      <c r="H48" s="95"/>
      <c r="I48" s="94" t="s">
        <v>56</v>
      </c>
    </row>
    <row r="49" spans="8:9" hidden="1" x14ac:dyDescent="0.25">
      <c r="H49" s="95"/>
      <c r="I49" s="94" t="s">
        <v>98</v>
      </c>
    </row>
    <row r="50" spans="8:9" hidden="1" x14ac:dyDescent="0.25">
      <c r="H50" s="95">
        <v>0</v>
      </c>
      <c r="I50" s="94" t="s">
        <v>112</v>
      </c>
    </row>
    <row r="51" spans="8:9" hidden="1" x14ac:dyDescent="0.25">
      <c r="H51" s="95">
        <f>SUM(H47:H50)</f>
        <v>0</v>
      </c>
      <c r="I51" s="94" t="s">
        <v>59</v>
      </c>
    </row>
    <row r="52" spans="8:9" hidden="1" x14ac:dyDescent="0.25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0" zoomScale="85" zoomScaleNormal="85" workbookViewId="0">
      <selection activeCell="D50" sqref="D50"/>
    </sheetView>
  </sheetViews>
  <sheetFormatPr defaultRowHeight="12.5" x14ac:dyDescent="0.25"/>
  <cols>
    <col min="1" max="1" width="78.26953125" customWidth="1"/>
    <col min="2" max="2" width="20.81640625" customWidth="1"/>
    <col min="4" max="4" width="18.26953125" customWidth="1"/>
    <col min="6" max="7" width="48.26953125" customWidth="1"/>
    <col min="8" max="8" width="34" customWidth="1"/>
    <col min="9" max="9" width="18.7265625" customWidth="1"/>
  </cols>
  <sheetData>
    <row r="1" spans="1:9" ht="31" x14ac:dyDescent="0.25">
      <c r="A1" s="77" t="s">
        <v>101</v>
      </c>
      <c r="B1" s="77" t="s">
        <v>102</v>
      </c>
      <c r="C1" s="77" t="s">
        <v>103</v>
      </c>
      <c r="D1" s="77" t="s">
        <v>104</v>
      </c>
      <c r="E1" s="77" t="s">
        <v>105</v>
      </c>
      <c r="F1" s="77" t="s">
        <v>106</v>
      </c>
      <c r="G1" s="77" t="s">
        <v>118</v>
      </c>
      <c r="H1" s="77" t="s">
        <v>107</v>
      </c>
      <c r="I1" s="47" t="s">
        <v>167</v>
      </c>
    </row>
    <row r="2" spans="1:9" ht="19.899999999999999" customHeight="1" x14ac:dyDescent="0.25">
      <c r="A2" s="210" t="s">
        <v>224</v>
      </c>
      <c r="B2" s="88" t="s">
        <v>177</v>
      </c>
      <c r="C2" s="89">
        <v>1</v>
      </c>
      <c r="D2" s="214">
        <f>5577/1000</f>
        <v>5.577</v>
      </c>
      <c r="E2" s="87"/>
      <c r="F2" s="88"/>
      <c r="G2" s="156">
        <f>C2*D2</f>
        <v>5.577</v>
      </c>
      <c r="H2" s="90" t="s">
        <v>248</v>
      </c>
      <c r="I2" s="143"/>
    </row>
    <row r="3" spans="1:9" ht="13.15" hidden="1" customHeight="1" x14ac:dyDescent="0.25">
      <c r="A3" s="211"/>
      <c r="B3" s="88" t="s">
        <v>177</v>
      </c>
      <c r="C3" s="89">
        <v>12</v>
      </c>
      <c r="D3" s="215"/>
      <c r="E3" s="87" t="s">
        <v>195</v>
      </c>
      <c r="F3" s="88"/>
      <c r="G3" s="152">
        <f>C3*D3</f>
        <v>0</v>
      </c>
      <c r="H3" s="90" t="s">
        <v>196</v>
      </c>
      <c r="I3" s="143"/>
    </row>
    <row r="4" spans="1:9" ht="19.899999999999999" customHeight="1" x14ac:dyDescent="0.25">
      <c r="A4" s="210" t="s">
        <v>225</v>
      </c>
      <c r="B4" s="88" t="s">
        <v>177</v>
      </c>
      <c r="C4" s="89">
        <v>1</v>
      </c>
      <c r="D4" s="214">
        <f>1730.3/1000</f>
        <v>1.7302999999999999</v>
      </c>
      <c r="E4" s="87"/>
      <c r="F4" s="88"/>
      <c r="G4" s="156">
        <f>C4*D4</f>
        <v>1.7302999999999999</v>
      </c>
      <c r="H4" s="90" t="s">
        <v>248</v>
      </c>
      <c r="I4" s="143"/>
    </row>
    <row r="5" spans="1:9" ht="13.15" hidden="1" customHeight="1" x14ac:dyDescent="0.25">
      <c r="A5" s="211"/>
      <c r="D5" s="215"/>
      <c r="G5" s="153"/>
    </row>
    <row r="6" spans="1:9" x14ac:dyDescent="0.25">
      <c r="A6" s="210" t="s">
        <v>226</v>
      </c>
      <c r="B6" s="88" t="s">
        <v>177</v>
      </c>
      <c r="C6" s="150">
        <v>2</v>
      </c>
      <c r="D6" s="214">
        <f>2245.1/1000</f>
        <v>2.2450999999999999</v>
      </c>
      <c r="E6" s="47"/>
      <c r="F6" s="47"/>
      <c r="G6" s="154">
        <f>C6*D6</f>
        <v>4.4901999999999997</v>
      </c>
      <c r="H6" s="90" t="s">
        <v>248</v>
      </c>
    </row>
    <row r="7" spans="1:9" ht="13.15" hidden="1" customHeight="1" x14ac:dyDescent="0.25">
      <c r="A7" s="211"/>
      <c r="B7" s="88" t="s">
        <v>177</v>
      </c>
      <c r="C7" s="150">
        <v>12</v>
      </c>
      <c r="D7" s="215"/>
      <c r="E7" s="47"/>
      <c r="F7" s="47"/>
      <c r="G7" s="154"/>
      <c r="H7" s="90" t="s">
        <v>196</v>
      </c>
    </row>
    <row r="8" spans="1:9" x14ac:dyDescent="0.25">
      <c r="A8" s="210" t="s">
        <v>227</v>
      </c>
      <c r="B8" s="88" t="s">
        <v>177</v>
      </c>
      <c r="C8" s="150">
        <v>1</v>
      </c>
      <c r="D8" s="214">
        <f>1472.9/1000</f>
        <v>1.4729000000000001</v>
      </c>
      <c r="E8" s="47"/>
      <c r="F8" s="47"/>
      <c r="G8" s="154">
        <f>C8*D8</f>
        <v>1.4729000000000001</v>
      </c>
      <c r="H8" s="90" t="s">
        <v>248</v>
      </c>
    </row>
    <row r="9" spans="1:9" ht="13.15" hidden="1" customHeight="1" x14ac:dyDescent="0.25">
      <c r="A9" s="211"/>
      <c r="D9" s="215"/>
      <c r="E9" s="47"/>
      <c r="F9" s="47"/>
      <c r="G9" s="154"/>
    </row>
    <row r="10" spans="1:9" x14ac:dyDescent="0.25">
      <c r="A10" s="210" t="s">
        <v>228</v>
      </c>
      <c r="B10" s="88" t="s">
        <v>177</v>
      </c>
      <c r="C10" s="150">
        <v>1</v>
      </c>
      <c r="D10" s="214">
        <f>1876.94/1000</f>
        <v>1.8769400000000001</v>
      </c>
      <c r="E10" s="47"/>
      <c r="F10" s="47"/>
      <c r="G10" s="154">
        <f>C10*D10</f>
        <v>1.8769400000000001</v>
      </c>
      <c r="H10" s="90" t="s">
        <v>248</v>
      </c>
    </row>
    <row r="11" spans="1:9" ht="13.15" hidden="1" customHeight="1" x14ac:dyDescent="0.25">
      <c r="A11" s="211"/>
      <c r="B11" s="88" t="s">
        <v>177</v>
      </c>
      <c r="C11" s="150">
        <v>12</v>
      </c>
      <c r="D11" s="215"/>
      <c r="E11" s="47"/>
      <c r="F11" s="47"/>
      <c r="G11" s="154"/>
      <c r="H11" s="90" t="s">
        <v>196</v>
      </c>
    </row>
    <row r="12" spans="1:9" x14ac:dyDescent="0.25">
      <c r="A12" s="210" t="s">
        <v>229</v>
      </c>
      <c r="B12" s="88" t="s">
        <v>177</v>
      </c>
      <c r="C12" s="150">
        <v>1</v>
      </c>
      <c r="D12" s="214">
        <f>11622/1000</f>
        <v>11.622</v>
      </c>
      <c r="E12" s="47"/>
      <c r="F12" s="47"/>
      <c r="G12" s="154">
        <f>C12*D12</f>
        <v>11.622</v>
      </c>
      <c r="H12" s="90" t="s">
        <v>248</v>
      </c>
    </row>
    <row r="13" spans="1:9" ht="13.15" hidden="1" customHeight="1" x14ac:dyDescent="0.25">
      <c r="A13" s="211"/>
      <c r="D13" s="215"/>
      <c r="E13" s="47"/>
      <c r="F13" s="47"/>
      <c r="G13" s="154"/>
    </row>
    <row r="14" spans="1:9" x14ac:dyDescent="0.25">
      <c r="A14" s="210" t="s">
        <v>230</v>
      </c>
      <c r="B14" s="88" t="s">
        <v>177</v>
      </c>
      <c r="C14" s="150">
        <v>1</v>
      </c>
      <c r="D14" s="214">
        <f>2815.67/1000</f>
        <v>2.8156699999999999</v>
      </c>
      <c r="E14" s="47"/>
      <c r="F14" s="47"/>
      <c r="G14" s="154">
        <f>C14*D14</f>
        <v>2.8156699999999999</v>
      </c>
      <c r="H14" s="90" t="s">
        <v>248</v>
      </c>
    </row>
    <row r="15" spans="1:9" ht="13.15" hidden="1" customHeight="1" x14ac:dyDescent="0.25">
      <c r="A15" s="211"/>
      <c r="B15" s="88" t="s">
        <v>177</v>
      </c>
      <c r="C15" s="150">
        <v>12</v>
      </c>
      <c r="D15" s="215"/>
      <c r="E15" s="47"/>
      <c r="F15" s="47"/>
      <c r="G15" s="154"/>
      <c r="H15" s="90" t="s">
        <v>196</v>
      </c>
    </row>
    <row r="16" spans="1:9" x14ac:dyDescent="0.25">
      <c r="A16" s="210" t="s">
        <v>231</v>
      </c>
      <c r="B16" s="88" t="s">
        <v>177</v>
      </c>
      <c r="C16" s="150">
        <v>1</v>
      </c>
      <c r="D16" s="214">
        <f>2155.01/1000</f>
        <v>2.1550100000000003</v>
      </c>
      <c r="E16" s="47"/>
      <c r="F16" s="47"/>
      <c r="G16" s="154">
        <f>C16*D16</f>
        <v>2.1550100000000003</v>
      </c>
      <c r="H16" s="90" t="s">
        <v>248</v>
      </c>
    </row>
    <row r="17" spans="1:8" ht="13.15" hidden="1" customHeight="1" x14ac:dyDescent="0.25">
      <c r="A17" s="211"/>
      <c r="D17" s="215"/>
      <c r="E17" s="47"/>
      <c r="F17" s="47"/>
      <c r="G17" s="154"/>
    </row>
    <row r="18" spans="1:8" x14ac:dyDescent="0.25">
      <c r="A18" s="210" t="s">
        <v>232</v>
      </c>
      <c r="B18" s="88" t="s">
        <v>177</v>
      </c>
      <c r="C18" s="150">
        <v>16</v>
      </c>
      <c r="D18" s="214">
        <f>227.97/1000</f>
        <v>0.22797000000000001</v>
      </c>
      <c r="E18" s="47"/>
      <c r="F18" s="47"/>
      <c r="G18" s="154">
        <f>C18*D18</f>
        <v>3.6475200000000001</v>
      </c>
      <c r="H18" s="90" t="s">
        <v>248</v>
      </c>
    </row>
    <row r="19" spans="1:8" ht="13.15" hidden="1" customHeight="1" x14ac:dyDescent="0.25">
      <c r="A19" s="211"/>
      <c r="B19" s="88" t="s">
        <v>177</v>
      </c>
      <c r="C19" s="150">
        <v>12</v>
      </c>
      <c r="D19" s="215"/>
      <c r="E19" s="47"/>
      <c r="F19" s="47"/>
      <c r="G19" s="154"/>
      <c r="H19" s="90" t="s">
        <v>196</v>
      </c>
    </row>
    <row r="20" spans="1:8" x14ac:dyDescent="0.25">
      <c r="A20" s="210" t="s">
        <v>233</v>
      </c>
      <c r="B20" s="88" t="s">
        <v>177</v>
      </c>
      <c r="C20" s="150">
        <v>3</v>
      </c>
      <c r="D20" s="214">
        <f>227.97/1000</f>
        <v>0.22797000000000001</v>
      </c>
      <c r="E20" s="47"/>
      <c r="F20" s="47"/>
      <c r="G20" s="154">
        <f>C20*D20</f>
        <v>0.68391000000000002</v>
      </c>
      <c r="H20" s="90" t="s">
        <v>248</v>
      </c>
    </row>
    <row r="21" spans="1:8" ht="13.15" hidden="1" customHeight="1" x14ac:dyDescent="0.25">
      <c r="A21" s="211"/>
      <c r="D21" s="215"/>
      <c r="E21" s="47"/>
      <c r="F21" s="47"/>
      <c r="G21" s="154"/>
    </row>
    <row r="22" spans="1:8" x14ac:dyDescent="0.25">
      <c r="A22" s="210" t="s">
        <v>234</v>
      </c>
      <c r="B22" s="88" t="s">
        <v>177</v>
      </c>
      <c r="C22" s="150">
        <v>2</v>
      </c>
      <c r="D22" s="214">
        <f>1356/1000</f>
        <v>1.3560000000000001</v>
      </c>
      <c r="E22" s="47"/>
      <c r="F22" s="47"/>
      <c r="G22" s="154">
        <f>C22*D22</f>
        <v>2.7120000000000002</v>
      </c>
      <c r="H22" s="90" t="s">
        <v>248</v>
      </c>
    </row>
    <row r="23" spans="1:8" ht="13.15" hidden="1" customHeight="1" x14ac:dyDescent="0.25">
      <c r="A23" s="211"/>
      <c r="B23" s="88" t="s">
        <v>177</v>
      </c>
      <c r="C23" s="150">
        <v>12</v>
      </c>
      <c r="D23" s="215"/>
      <c r="E23" s="47"/>
      <c r="F23" s="47"/>
      <c r="G23" s="154"/>
      <c r="H23" s="90" t="s">
        <v>196</v>
      </c>
    </row>
    <row r="24" spans="1:8" x14ac:dyDescent="0.25">
      <c r="A24" s="210" t="s">
        <v>235</v>
      </c>
      <c r="B24" s="88" t="s">
        <v>177</v>
      </c>
      <c r="C24" s="150">
        <v>1</v>
      </c>
      <c r="D24" s="214">
        <f>1356/1000</f>
        <v>1.3560000000000001</v>
      </c>
      <c r="E24" s="47"/>
      <c r="F24" s="47"/>
      <c r="G24" s="154">
        <f>C24*D24</f>
        <v>1.3560000000000001</v>
      </c>
      <c r="H24" s="90" t="s">
        <v>248</v>
      </c>
    </row>
    <row r="25" spans="1:8" ht="13.15" hidden="1" customHeight="1" x14ac:dyDescent="0.25">
      <c r="A25" s="211"/>
      <c r="D25" s="215"/>
      <c r="E25" s="47"/>
      <c r="F25" s="47"/>
      <c r="G25" s="154"/>
    </row>
    <row r="26" spans="1:8" x14ac:dyDescent="0.25">
      <c r="A26" s="210" t="s">
        <v>236</v>
      </c>
      <c r="B26" s="88" t="s">
        <v>177</v>
      </c>
      <c r="C26" s="150">
        <v>4</v>
      </c>
      <c r="D26" s="214">
        <f>193.22/1000</f>
        <v>0.19322</v>
      </c>
      <c r="E26" s="47"/>
      <c r="F26" s="47"/>
      <c r="G26" s="154">
        <f>C26*D26</f>
        <v>0.77288000000000001</v>
      </c>
      <c r="H26" s="90" t="s">
        <v>248</v>
      </c>
    </row>
    <row r="27" spans="1:8" ht="13.15" hidden="1" customHeight="1" x14ac:dyDescent="0.25">
      <c r="A27" s="211"/>
      <c r="C27" s="150">
        <v>12</v>
      </c>
      <c r="D27" s="215"/>
      <c r="E27" s="47"/>
      <c r="F27" s="47"/>
      <c r="G27" s="154"/>
      <c r="H27" s="90" t="s">
        <v>196</v>
      </c>
    </row>
    <row r="28" spans="1:8" x14ac:dyDescent="0.25">
      <c r="A28" s="210" t="s">
        <v>237</v>
      </c>
      <c r="B28" s="88" t="s">
        <v>177</v>
      </c>
      <c r="C28" s="150">
        <v>1</v>
      </c>
      <c r="D28" s="214">
        <f>193.22/1000</f>
        <v>0.19322</v>
      </c>
      <c r="E28" s="47"/>
      <c r="F28" s="47"/>
      <c r="G28" s="154">
        <f>C28*D28</f>
        <v>0.19322</v>
      </c>
      <c r="H28" s="90" t="s">
        <v>248</v>
      </c>
    </row>
    <row r="29" spans="1:8" ht="13.15" hidden="1" customHeight="1" x14ac:dyDescent="0.25">
      <c r="A29" s="211"/>
      <c r="B29" s="88" t="s">
        <v>177</v>
      </c>
      <c r="D29" s="215"/>
      <c r="E29" s="47"/>
      <c r="F29" s="47"/>
      <c r="G29" s="154"/>
    </row>
    <row r="30" spans="1:8" x14ac:dyDescent="0.25">
      <c r="A30" s="210" t="s">
        <v>238</v>
      </c>
      <c r="B30" s="88" t="s">
        <v>177</v>
      </c>
      <c r="C30" s="150">
        <v>1</v>
      </c>
      <c r="D30" s="214">
        <f>890/1000</f>
        <v>0.89</v>
      </c>
      <c r="E30" s="47"/>
      <c r="F30" s="47"/>
      <c r="G30" s="154">
        <f>C30*D30</f>
        <v>0.89</v>
      </c>
      <c r="H30" s="90" t="s">
        <v>248</v>
      </c>
    </row>
    <row r="31" spans="1:8" ht="13.15" hidden="1" customHeight="1" x14ac:dyDescent="0.25">
      <c r="A31" s="211"/>
      <c r="C31" s="150">
        <v>12</v>
      </c>
      <c r="D31" s="215"/>
      <c r="E31" s="47"/>
      <c r="F31" s="47"/>
      <c r="G31" s="154"/>
      <c r="H31" s="90" t="s">
        <v>196</v>
      </c>
    </row>
    <row r="32" spans="1:8" x14ac:dyDescent="0.25">
      <c r="A32" s="210" t="s">
        <v>239</v>
      </c>
      <c r="B32" s="88" t="s">
        <v>177</v>
      </c>
      <c r="C32" s="150">
        <v>1</v>
      </c>
      <c r="D32" s="214">
        <f>890/1000</f>
        <v>0.89</v>
      </c>
      <c r="E32" s="47"/>
      <c r="F32" s="47"/>
      <c r="G32" s="154">
        <f>C32*D32</f>
        <v>0.89</v>
      </c>
      <c r="H32" s="90" t="s">
        <v>248</v>
      </c>
    </row>
    <row r="33" spans="1:8" ht="13.15" hidden="1" customHeight="1" x14ac:dyDescent="0.25">
      <c r="A33" s="211"/>
      <c r="B33" s="88" t="s">
        <v>177</v>
      </c>
      <c r="D33" s="215"/>
      <c r="E33" s="47"/>
      <c r="F33" s="47"/>
      <c r="G33" s="154"/>
    </row>
    <row r="34" spans="1:8" x14ac:dyDescent="0.25">
      <c r="A34" s="210" t="s">
        <v>240</v>
      </c>
      <c r="B34" s="88" t="s">
        <v>177</v>
      </c>
      <c r="C34" s="150">
        <v>1</v>
      </c>
      <c r="D34" s="214">
        <f>5400.27/1000</f>
        <v>5.4002700000000008</v>
      </c>
      <c r="E34" s="47"/>
      <c r="F34" s="47"/>
      <c r="G34" s="154">
        <f>C34*D34</f>
        <v>5.4002700000000008</v>
      </c>
      <c r="H34" s="90" t="s">
        <v>248</v>
      </c>
    </row>
    <row r="35" spans="1:8" ht="13.15" hidden="1" customHeight="1" x14ac:dyDescent="0.25">
      <c r="A35" s="211"/>
      <c r="C35" s="150">
        <v>12</v>
      </c>
      <c r="D35" s="215"/>
      <c r="E35" s="47"/>
      <c r="F35" s="47"/>
      <c r="G35" s="154"/>
      <c r="H35" s="90" t="s">
        <v>196</v>
      </c>
    </row>
    <row r="36" spans="1:8" x14ac:dyDescent="0.25">
      <c r="A36" s="210" t="s">
        <v>241</v>
      </c>
      <c r="B36" s="88" t="s">
        <v>177</v>
      </c>
      <c r="C36" s="150">
        <v>15</v>
      </c>
      <c r="D36" s="214">
        <f>240/1000</f>
        <v>0.24</v>
      </c>
      <c r="E36" s="47"/>
      <c r="F36" s="47"/>
      <c r="G36" s="154">
        <f>C36*D36</f>
        <v>3.5999999999999996</v>
      </c>
      <c r="H36" s="90" t="s">
        <v>248</v>
      </c>
    </row>
    <row r="37" spans="1:8" ht="13.15" hidden="1" customHeight="1" x14ac:dyDescent="0.25">
      <c r="A37" s="211"/>
      <c r="D37" s="215"/>
      <c r="E37" s="47"/>
      <c r="F37" s="47"/>
      <c r="G37" s="154"/>
    </row>
    <row r="38" spans="1:8" x14ac:dyDescent="0.25">
      <c r="A38" s="210" t="s">
        <v>242</v>
      </c>
      <c r="B38" s="88" t="s">
        <v>177</v>
      </c>
      <c r="C38" s="150">
        <v>8</v>
      </c>
      <c r="D38" s="214">
        <f>337/1000</f>
        <v>0.33700000000000002</v>
      </c>
      <c r="E38" s="47"/>
      <c r="F38" s="47"/>
      <c r="G38" s="154">
        <f>C38*D38</f>
        <v>2.6960000000000002</v>
      </c>
      <c r="H38" s="90" t="s">
        <v>248</v>
      </c>
    </row>
    <row r="39" spans="1:8" ht="13.15" hidden="1" customHeight="1" x14ac:dyDescent="0.25">
      <c r="A39" s="211"/>
      <c r="B39" s="88" t="s">
        <v>177</v>
      </c>
      <c r="C39" s="150">
        <v>12</v>
      </c>
      <c r="D39" s="215"/>
      <c r="E39" s="47"/>
      <c r="F39" s="47"/>
      <c r="G39" s="154"/>
      <c r="H39" s="90" t="s">
        <v>196</v>
      </c>
    </row>
    <row r="40" spans="1:8" x14ac:dyDescent="0.25">
      <c r="A40" s="210" t="s">
        <v>243</v>
      </c>
      <c r="B40" s="88" t="s">
        <v>177</v>
      </c>
      <c r="C40" s="150">
        <v>6</v>
      </c>
      <c r="D40" s="214">
        <f>177.97/1000</f>
        <v>0.17796999999999999</v>
      </c>
      <c r="E40" s="47"/>
      <c r="F40" s="47"/>
      <c r="G40" s="154">
        <f>C40*D40</f>
        <v>1.06782</v>
      </c>
      <c r="H40" s="90" t="s">
        <v>248</v>
      </c>
    </row>
    <row r="41" spans="1:8" ht="13.15" hidden="1" customHeight="1" x14ac:dyDescent="0.25">
      <c r="A41" s="211"/>
      <c r="D41" s="215"/>
      <c r="E41" s="47"/>
      <c r="F41" s="47"/>
      <c r="G41" s="154"/>
    </row>
    <row r="42" spans="1:8" x14ac:dyDescent="0.25">
      <c r="A42" s="210" t="s">
        <v>244</v>
      </c>
      <c r="B42" s="88" t="s">
        <v>177</v>
      </c>
      <c r="C42" s="150">
        <v>3</v>
      </c>
      <c r="D42" s="214">
        <f>270.34/1000</f>
        <v>0.27033999999999997</v>
      </c>
      <c r="E42" s="47"/>
      <c r="F42" s="47"/>
      <c r="G42" s="154">
        <f>C42*D42</f>
        <v>0.81101999999999985</v>
      </c>
      <c r="H42" s="90" t="s">
        <v>248</v>
      </c>
    </row>
    <row r="43" spans="1:8" ht="13.15" hidden="1" customHeight="1" x14ac:dyDescent="0.25">
      <c r="A43" s="211"/>
      <c r="B43" s="88" t="s">
        <v>177</v>
      </c>
      <c r="C43" s="150">
        <v>12</v>
      </c>
      <c r="D43" s="215"/>
      <c r="E43" s="47"/>
      <c r="F43" s="47"/>
      <c r="G43" s="154"/>
      <c r="H43" s="90" t="s">
        <v>196</v>
      </c>
    </row>
    <row r="44" spans="1:8" x14ac:dyDescent="0.25">
      <c r="A44" s="210" t="s">
        <v>245</v>
      </c>
      <c r="B44" s="88" t="s">
        <v>177</v>
      </c>
      <c r="C44" s="150">
        <v>1</v>
      </c>
      <c r="D44" s="214">
        <f>1287/1000</f>
        <v>1.2869999999999999</v>
      </c>
      <c r="E44" s="47"/>
      <c r="F44" s="47"/>
      <c r="G44" s="154">
        <f>C44*D44</f>
        <v>1.2869999999999999</v>
      </c>
      <c r="H44" s="90" t="s">
        <v>248</v>
      </c>
    </row>
    <row r="45" spans="1:8" ht="13.15" hidden="1" customHeight="1" x14ac:dyDescent="0.25">
      <c r="A45" s="211"/>
      <c r="D45" s="215"/>
      <c r="E45" s="47"/>
      <c r="F45" s="47"/>
      <c r="G45" s="154"/>
    </row>
    <row r="46" spans="1:8" x14ac:dyDescent="0.25">
      <c r="A46" s="210" t="s">
        <v>246</v>
      </c>
      <c r="B46" s="88" t="s">
        <v>177</v>
      </c>
      <c r="C46" s="150">
        <v>1</v>
      </c>
      <c r="D46" s="214">
        <f>370/1000</f>
        <v>0.37</v>
      </c>
      <c r="E46" s="47"/>
      <c r="F46" s="47"/>
      <c r="G46" s="154">
        <f>C46*D46</f>
        <v>0.37</v>
      </c>
      <c r="H46" s="90" t="s">
        <v>248</v>
      </c>
    </row>
    <row r="47" spans="1:8" ht="13.15" hidden="1" customHeight="1" x14ac:dyDescent="0.25">
      <c r="A47" s="211"/>
      <c r="B47" s="88" t="s">
        <v>177</v>
      </c>
      <c r="C47" s="150">
        <v>12</v>
      </c>
      <c r="D47" s="215"/>
      <c r="E47" s="47"/>
      <c r="F47" s="47"/>
      <c r="G47" s="154"/>
      <c r="H47" s="90" t="s">
        <v>196</v>
      </c>
    </row>
    <row r="48" spans="1:8" ht="21.65" customHeight="1" x14ac:dyDescent="0.25">
      <c r="A48" s="212" t="s">
        <v>247</v>
      </c>
      <c r="B48" s="88" t="s">
        <v>177</v>
      </c>
      <c r="C48" s="150">
        <v>3</v>
      </c>
      <c r="D48" s="214">
        <f>1350/1000</f>
        <v>1.35</v>
      </c>
      <c r="E48" s="47"/>
      <c r="F48" s="47"/>
      <c r="G48" s="154">
        <f>C48*D48</f>
        <v>4.0500000000000007</v>
      </c>
      <c r="H48" s="90" t="s">
        <v>248</v>
      </c>
    </row>
    <row r="49" spans="1:8" ht="13.15" hidden="1" customHeight="1" x14ac:dyDescent="0.25">
      <c r="A49" s="213"/>
      <c r="D49" s="215"/>
      <c r="E49" s="47"/>
      <c r="F49" s="47"/>
      <c r="G49" s="155"/>
    </row>
    <row r="50" spans="1:8" x14ac:dyDescent="0.25">
      <c r="A50" s="149"/>
      <c r="B50" s="47"/>
      <c r="C50" s="151"/>
      <c r="D50" s="47"/>
      <c r="E50" s="47"/>
      <c r="F50" s="47"/>
      <c r="G50" s="155"/>
      <c r="H50" s="47"/>
    </row>
  </sheetData>
  <mergeCells count="48">
    <mergeCell ref="D12:D13"/>
    <mergeCell ref="D2:D3"/>
    <mergeCell ref="D4:D5"/>
    <mergeCell ref="D6:D7"/>
    <mergeCell ref="D8:D9"/>
    <mergeCell ref="D10:D11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A32:A33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12:A13"/>
    <mergeCell ref="A14:A15"/>
    <mergeCell ref="A16:A17"/>
    <mergeCell ref="A18:A19"/>
    <mergeCell ref="A20:A21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A24" sqref="A24"/>
    </sheetView>
  </sheetViews>
  <sheetFormatPr defaultRowHeight="12.5" x14ac:dyDescent="0.25"/>
  <cols>
    <col min="2" max="2" width="46.26953125" customWidth="1"/>
  </cols>
  <sheetData>
    <row r="1" spans="1:21" ht="14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96" t="s">
        <v>121</v>
      </c>
    </row>
    <row r="2" spans="1:21" ht="14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97" t="s">
        <v>122</v>
      </c>
    </row>
    <row r="3" spans="1:21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4" x14ac:dyDescent="0.25">
      <c r="A4" s="223" t="s">
        <v>123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</row>
    <row r="5" spans="1:21" ht="13" thickBot="1" x14ac:dyDescent="0.3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ht="14.5" thickBot="1" x14ac:dyDescent="0.3">
      <c r="A6" s="225" t="s">
        <v>0</v>
      </c>
      <c r="B6" s="225" t="s">
        <v>124</v>
      </c>
      <c r="C6" s="228" t="s">
        <v>102</v>
      </c>
      <c r="D6" s="228" t="s">
        <v>125</v>
      </c>
      <c r="E6" s="231" t="s">
        <v>126</v>
      </c>
      <c r="F6" s="234" t="s">
        <v>127</v>
      </c>
      <c r="G6" s="235"/>
      <c r="H6" s="236" t="s">
        <v>128</v>
      </c>
      <c r="I6" s="237"/>
      <c r="J6" s="237"/>
      <c r="K6" s="237"/>
      <c r="L6" s="237"/>
      <c r="M6" s="237"/>
      <c r="N6" s="237"/>
      <c r="O6" s="237"/>
      <c r="P6" s="237"/>
      <c r="Q6" s="238"/>
      <c r="R6" s="225" t="s">
        <v>129</v>
      </c>
      <c r="S6" s="225" t="s">
        <v>130</v>
      </c>
      <c r="T6" s="225" t="s">
        <v>131</v>
      </c>
      <c r="U6" s="225" t="s">
        <v>132</v>
      </c>
    </row>
    <row r="7" spans="1:21" ht="14.5" thickBot="1" x14ac:dyDescent="0.3">
      <c r="A7" s="226"/>
      <c r="B7" s="226"/>
      <c r="C7" s="229"/>
      <c r="D7" s="229"/>
      <c r="E7" s="232"/>
      <c r="F7" s="236" t="s">
        <v>133</v>
      </c>
      <c r="G7" s="238"/>
      <c r="H7" s="236"/>
      <c r="I7" s="238"/>
      <c r="J7" s="216"/>
      <c r="K7" s="217"/>
      <c r="L7" s="216"/>
      <c r="M7" s="217"/>
      <c r="N7" s="216" t="s">
        <v>133</v>
      </c>
      <c r="O7" s="217"/>
      <c r="P7" s="216" t="s">
        <v>133</v>
      </c>
      <c r="Q7" s="217"/>
      <c r="R7" s="226"/>
      <c r="S7" s="226"/>
      <c r="T7" s="226"/>
      <c r="U7" s="226"/>
    </row>
    <row r="8" spans="1:21" ht="42.5" thickBot="1" x14ac:dyDescent="0.3">
      <c r="A8" s="227"/>
      <c r="B8" s="227"/>
      <c r="C8" s="230"/>
      <c r="D8" s="230"/>
      <c r="E8" s="233"/>
      <c r="F8" s="98" t="s">
        <v>134</v>
      </c>
      <c r="G8" s="98" t="s">
        <v>135</v>
      </c>
      <c r="H8" s="98" t="s">
        <v>134</v>
      </c>
      <c r="I8" s="98" t="s">
        <v>135</v>
      </c>
      <c r="J8" s="98" t="s">
        <v>134</v>
      </c>
      <c r="K8" s="98" t="s">
        <v>135</v>
      </c>
      <c r="L8" s="99" t="s">
        <v>134</v>
      </c>
      <c r="M8" s="99" t="s">
        <v>135</v>
      </c>
      <c r="N8" s="99" t="s">
        <v>134</v>
      </c>
      <c r="O8" s="99" t="s">
        <v>135</v>
      </c>
      <c r="P8" s="99" t="s">
        <v>134</v>
      </c>
      <c r="Q8" s="99" t="s">
        <v>135</v>
      </c>
      <c r="R8" s="227"/>
      <c r="S8" s="227"/>
      <c r="T8" s="227"/>
      <c r="U8" s="227"/>
    </row>
    <row r="9" spans="1:21" ht="14.5" thickBot="1" x14ac:dyDescent="0.3">
      <c r="A9" s="100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101">
        <v>9</v>
      </c>
      <c r="J9" s="101">
        <v>10</v>
      </c>
      <c r="K9" s="101">
        <v>11</v>
      </c>
      <c r="L9" s="101">
        <v>12</v>
      </c>
      <c r="M9" s="101">
        <v>13</v>
      </c>
      <c r="N9" s="101">
        <v>14</v>
      </c>
      <c r="O9" s="101">
        <v>15</v>
      </c>
      <c r="P9" s="101">
        <v>16</v>
      </c>
      <c r="Q9" s="101">
        <v>17</v>
      </c>
      <c r="R9" s="101">
        <v>18</v>
      </c>
      <c r="S9" s="101">
        <v>19</v>
      </c>
      <c r="T9" s="101">
        <v>20</v>
      </c>
      <c r="U9" s="101">
        <v>21</v>
      </c>
    </row>
    <row r="10" spans="1:21" ht="14.5" thickBot="1" x14ac:dyDescent="0.3">
      <c r="A10" s="102" t="s">
        <v>136</v>
      </c>
      <c r="B10" s="98"/>
      <c r="C10" s="103"/>
      <c r="D10" s="103"/>
      <c r="E10" s="103"/>
      <c r="F10" s="104"/>
      <c r="G10" s="104"/>
      <c r="H10" s="105"/>
      <c r="I10" s="105"/>
      <c r="J10" s="105"/>
      <c r="K10" s="105"/>
      <c r="L10" s="105"/>
      <c r="M10" s="106"/>
      <c r="N10" s="107"/>
      <c r="O10" s="107"/>
      <c r="P10" s="107"/>
      <c r="Q10" s="107"/>
      <c r="R10" s="105"/>
      <c r="S10" s="105"/>
      <c r="T10" s="105"/>
      <c r="U10" s="105"/>
    </row>
    <row r="11" spans="1:21" ht="14.5" thickBot="1" x14ac:dyDescent="0.3">
      <c r="A11" s="100"/>
      <c r="B11" s="108" t="s">
        <v>137</v>
      </c>
      <c r="C11" s="109" t="s">
        <v>138</v>
      </c>
      <c r="D11" s="109" t="s">
        <v>138</v>
      </c>
      <c r="E11" s="109" t="s">
        <v>138</v>
      </c>
      <c r="F11" s="109" t="s">
        <v>138</v>
      </c>
      <c r="G11" s="109" t="s">
        <v>138</v>
      </c>
      <c r="H11" s="109" t="s">
        <v>138</v>
      </c>
      <c r="I11" s="109" t="s">
        <v>138</v>
      </c>
      <c r="J11" s="109" t="s">
        <v>138</v>
      </c>
      <c r="K11" s="109" t="s">
        <v>138</v>
      </c>
      <c r="L11" s="110" t="s">
        <v>138</v>
      </c>
      <c r="M11" s="110" t="s">
        <v>138</v>
      </c>
      <c r="N11" s="110" t="s">
        <v>138</v>
      </c>
      <c r="O11" s="110" t="s">
        <v>138</v>
      </c>
      <c r="P11" s="110" t="s">
        <v>138</v>
      </c>
      <c r="Q11" s="110" t="s">
        <v>138</v>
      </c>
      <c r="R11" s="109" t="s">
        <v>138</v>
      </c>
      <c r="S11" s="109" t="s">
        <v>138</v>
      </c>
      <c r="T11" s="109" t="s">
        <v>138</v>
      </c>
      <c r="U11" s="109" t="s">
        <v>138</v>
      </c>
    </row>
    <row r="12" spans="1:21" x14ac:dyDescent="0.2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ht="15.5" x14ac:dyDescent="0.35">
      <c r="A13" s="111"/>
      <c r="B13" s="111"/>
      <c r="C13" s="111"/>
      <c r="D13" s="111"/>
      <c r="E13" s="111"/>
      <c r="F13" s="111"/>
      <c r="G13" s="111"/>
      <c r="H13" s="112"/>
      <c r="I13" s="11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5.5" x14ac:dyDescent="0.25">
      <c r="A14" s="113" t="s">
        <v>139</v>
      </c>
      <c r="B14" s="114"/>
      <c r="C14" s="114"/>
      <c r="D14" s="114"/>
      <c r="E14" s="115"/>
      <c r="F14" s="115"/>
      <c r="G14" s="115"/>
      <c r="H14" s="116"/>
      <c r="I14" s="116"/>
      <c r="J14" s="221" t="s">
        <v>140</v>
      </c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</row>
    <row r="15" spans="1:21" ht="15.5" x14ac:dyDescent="0.35">
      <c r="A15" s="117" t="s">
        <v>141</v>
      </c>
      <c r="B15" s="118"/>
      <c r="C15" s="118"/>
      <c r="D15" s="118"/>
      <c r="E15" s="111"/>
      <c r="F15" s="111"/>
      <c r="G15" s="111"/>
      <c r="H15" s="112"/>
      <c r="I15" s="112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5.5" x14ac:dyDescent="0.35">
      <c r="A16" s="117" t="s">
        <v>142</v>
      </c>
      <c r="B16" s="118"/>
      <c r="C16" s="118"/>
      <c r="D16" s="118"/>
      <c r="E16" s="111"/>
      <c r="F16" s="111"/>
      <c r="G16" s="111"/>
      <c r="H16" s="112"/>
      <c r="I16" s="11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5.5" x14ac:dyDescent="0.35">
      <c r="A17" s="119"/>
      <c r="B17" s="120"/>
      <c r="C17" s="120"/>
      <c r="D17" s="120"/>
      <c r="E17" s="121"/>
      <c r="F17" s="121"/>
      <c r="G17" s="121"/>
      <c r="H17" s="112"/>
      <c r="I17" s="112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ht="15.5" x14ac:dyDescent="0.35">
      <c r="A18" s="220" t="s">
        <v>143</v>
      </c>
      <c r="B18" s="220"/>
      <c r="C18" s="220"/>
      <c r="D18" s="220"/>
      <c r="E18" s="220"/>
      <c r="F18" s="112"/>
      <c r="G18" s="112"/>
      <c r="H18" s="122"/>
      <c r="I18" s="122"/>
      <c r="J18" s="73"/>
      <c r="K18" s="222"/>
      <c r="L18" s="222"/>
      <c r="M18" s="73"/>
      <c r="N18" s="73"/>
      <c r="O18" s="73"/>
      <c r="P18" s="73"/>
      <c r="Q18" s="73"/>
      <c r="R18" s="73"/>
      <c r="S18" s="73"/>
      <c r="T18" s="73"/>
      <c r="U18" s="73"/>
    </row>
    <row r="19" spans="1:21" ht="15.5" x14ac:dyDescent="0.35">
      <c r="A19" s="123"/>
      <c r="B19" s="112"/>
      <c r="C19" s="124"/>
      <c r="D19" s="112"/>
      <c r="E19" s="112"/>
      <c r="F19" s="112"/>
      <c r="G19" s="112"/>
      <c r="H19" s="218" t="s">
        <v>144</v>
      </c>
      <c r="I19" s="218"/>
      <c r="J19" s="125"/>
      <c r="K19" s="218" t="s">
        <v>145</v>
      </c>
      <c r="L19" s="218"/>
      <c r="M19" s="73"/>
      <c r="N19" s="73"/>
      <c r="O19" s="73"/>
      <c r="P19" s="73"/>
      <c r="Q19" s="73"/>
      <c r="R19" s="73"/>
      <c r="S19" s="73"/>
      <c r="T19" s="73"/>
      <c r="U19" s="73"/>
    </row>
    <row r="20" spans="1:21" ht="15.5" x14ac:dyDescent="0.35">
      <c r="A20" s="220" t="s">
        <v>146</v>
      </c>
      <c r="B20" s="220"/>
      <c r="C20" s="220"/>
      <c r="D20" s="220"/>
      <c r="E20" s="220"/>
      <c r="F20" s="112"/>
      <c r="G20" s="112"/>
      <c r="H20" s="122"/>
      <c r="I20" s="122"/>
      <c r="J20" s="73"/>
      <c r="K20" s="222"/>
      <c r="L20" s="222"/>
      <c r="M20" s="73"/>
      <c r="N20" s="73"/>
      <c r="O20" s="73"/>
      <c r="P20" s="73"/>
      <c r="Q20" s="73"/>
      <c r="R20" s="73"/>
      <c r="S20" s="73"/>
      <c r="T20" s="73"/>
      <c r="U20" s="73"/>
    </row>
    <row r="21" spans="1:21" ht="15.5" x14ac:dyDescent="0.35">
      <c r="A21" s="123"/>
      <c r="B21" s="73"/>
      <c r="C21" s="126"/>
      <c r="D21" s="73"/>
      <c r="E21" s="112"/>
      <c r="F21" s="112"/>
      <c r="G21" s="112"/>
      <c r="H21" s="218" t="s">
        <v>144</v>
      </c>
      <c r="I21" s="218"/>
      <c r="J21" s="73"/>
      <c r="K21" s="218" t="s">
        <v>145</v>
      </c>
      <c r="L21" s="218"/>
      <c r="M21" s="73"/>
      <c r="N21" s="73"/>
      <c r="O21" s="73"/>
      <c r="P21" s="73"/>
      <c r="Q21" s="73"/>
      <c r="R21" s="73"/>
      <c r="S21" s="73"/>
      <c r="T21" s="73"/>
      <c r="U21" s="73"/>
    </row>
    <row r="22" spans="1:21" ht="15.5" x14ac:dyDescent="0.35">
      <c r="A22" s="219" t="s">
        <v>223</v>
      </c>
      <c r="B22" s="220"/>
      <c r="C22" s="220"/>
      <c r="D22" s="220"/>
      <c r="E22" s="112"/>
      <c r="F22" s="112"/>
      <c r="G22" s="112"/>
      <c r="H22" s="112"/>
      <c r="I22" s="112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5" x14ac:dyDescent="0.25"/>
  <cols>
    <col min="2" max="2" width="51.26953125" customWidth="1"/>
    <col min="3" max="3" width="28" customWidth="1"/>
    <col min="4" max="4" width="31.81640625" customWidth="1"/>
  </cols>
  <sheetData>
    <row r="2" spans="2:4" ht="16.5" x14ac:dyDescent="0.25">
      <c r="B2" s="127"/>
      <c r="D2" s="127" t="s">
        <v>147</v>
      </c>
    </row>
    <row r="3" spans="2:4" ht="14" x14ac:dyDescent="0.25">
      <c r="B3" s="97"/>
      <c r="C3" s="245" t="s">
        <v>169</v>
      </c>
      <c r="D3" s="245"/>
    </row>
    <row r="4" spans="2:4" ht="14" x14ac:dyDescent="0.25">
      <c r="B4" s="97"/>
      <c r="C4" s="128"/>
      <c r="D4" s="129" t="s">
        <v>168</v>
      </c>
    </row>
    <row r="5" spans="2:4" ht="13" x14ac:dyDescent="0.25">
      <c r="B5" s="130"/>
      <c r="D5" s="130" t="s">
        <v>148</v>
      </c>
    </row>
    <row r="6" spans="2:4" ht="14" x14ac:dyDescent="0.25">
      <c r="B6" s="97"/>
      <c r="D6" s="97" t="s">
        <v>149</v>
      </c>
    </row>
    <row r="7" spans="2:4" ht="14" x14ac:dyDescent="0.25">
      <c r="B7" s="131"/>
    </row>
    <row r="8" spans="2:4" ht="15.5" x14ac:dyDescent="0.25">
      <c r="B8" s="132"/>
    </row>
    <row r="9" spans="2:4" ht="15.5" x14ac:dyDescent="0.25">
      <c r="B9" s="246" t="s">
        <v>150</v>
      </c>
      <c r="C9" s="246"/>
      <c r="D9" s="246"/>
    </row>
    <row r="10" spans="2:4" ht="15.5" x14ac:dyDescent="0.25">
      <c r="B10" s="246" t="s">
        <v>151</v>
      </c>
      <c r="C10" s="246"/>
      <c r="D10" s="246"/>
    </row>
    <row r="11" spans="2:4" ht="15.5" x14ac:dyDescent="0.25">
      <c r="B11" s="246" t="s">
        <v>152</v>
      </c>
      <c r="C11" s="246"/>
      <c r="D11" s="246"/>
    </row>
    <row r="12" spans="2:4" ht="15.5" x14ac:dyDescent="0.25">
      <c r="B12" s="133"/>
    </row>
    <row r="13" spans="2:4" ht="15.5" x14ac:dyDescent="0.25">
      <c r="B13" s="246" t="s">
        <v>153</v>
      </c>
      <c r="C13" s="246"/>
      <c r="D13" s="246"/>
    </row>
    <row r="14" spans="2:4" ht="15.5" x14ac:dyDescent="0.25">
      <c r="B14" s="134"/>
    </row>
    <row r="15" spans="2:4" ht="87.75" customHeight="1" x14ac:dyDescent="0.25">
      <c r="B15" s="239" t="str">
        <f>'ССР 4 кв. 2015 '!C12</f>
        <v>Создание системы пожарной сигнализации Летнереченского участка по обслуживанию распредсетей - 1 система</v>
      </c>
      <c r="C15" s="239"/>
      <c r="D15" s="239"/>
    </row>
    <row r="16" spans="2:4" ht="15.5" x14ac:dyDescent="0.25">
      <c r="B16" s="240" t="str">
        <f>"ИП "&amp;'Сводка затрат'!C7</f>
        <v>ИП M_000-32-1-06.10-0004</v>
      </c>
      <c r="C16" s="240"/>
      <c r="D16" s="240"/>
    </row>
    <row r="17" spans="2:4" ht="15.5" x14ac:dyDescent="0.25">
      <c r="B17" s="132"/>
    </row>
    <row r="18" spans="2:4" ht="15" x14ac:dyDescent="0.25">
      <c r="B18" s="135" t="s">
        <v>154</v>
      </c>
      <c r="C18" s="136"/>
    </row>
    <row r="19" spans="2:4" ht="15" x14ac:dyDescent="0.25">
      <c r="B19" s="135"/>
      <c r="C19" s="137"/>
    </row>
    <row r="20" spans="2:4" ht="15" x14ac:dyDescent="0.25">
      <c r="B20" s="135" t="s">
        <v>155</v>
      </c>
      <c r="C20" s="136"/>
    </row>
    <row r="21" spans="2:4" ht="15.5" x14ac:dyDescent="0.25">
      <c r="B21" s="132"/>
    </row>
    <row r="22" spans="2:4" ht="15.5" x14ac:dyDescent="0.25">
      <c r="B22" s="241" t="s">
        <v>156</v>
      </c>
      <c r="C22" s="241"/>
      <c r="D22" s="241"/>
    </row>
    <row r="23" spans="2:4" ht="15.5" x14ac:dyDescent="0.25">
      <c r="B23" s="138"/>
    </row>
    <row r="24" spans="2:4" ht="15.5" x14ac:dyDescent="0.25">
      <c r="B24" s="138" t="s">
        <v>157</v>
      </c>
    </row>
    <row r="25" spans="2:4" ht="57.75" customHeight="1" x14ac:dyDescent="0.25">
      <c r="B25" s="142" t="s">
        <v>158</v>
      </c>
    </row>
    <row r="26" spans="2:4" ht="34.5" customHeight="1" x14ac:dyDescent="0.25">
      <c r="B26" s="138" t="s">
        <v>159</v>
      </c>
    </row>
    <row r="27" spans="2:4" ht="15.5" x14ac:dyDescent="0.25">
      <c r="B27" s="138"/>
    </row>
    <row r="28" spans="2:4" ht="15.5" x14ac:dyDescent="0.25">
      <c r="B28" s="132"/>
    </row>
    <row r="29" spans="2:4" ht="15.5" x14ac:dyDescent="0.35">
      <c r="B29" s="133" t="s">
        <v>160</v>
      </c>
      <c r="C29" s="242" t="s">
        <v>161</v>
      </c>
      <c r="D29" s="242"/>
    </row>
    <row r="30" spans="2:4" ht="15.5" x14ac:dyDescent="0.25">
      <c r="B30" s="132"/>
    </row>
    <row r="31" spans="2:4" x14ac:dyDescent="0.25">
      <c r="B31" s="243" t="s">
        <v>162</v>
      </c>
    </row>
    <row r="32" spans="2:4" ht="15.5" x14ac:dyDescent="0.35">
      <c r="B32" s="243"/>
      <c r="C32" s="244" t="s">
        <v>163</v>
      </c>
      <c r="D32" s="244"/>
    </row>
    <row r="33" spans="2:4" ht="15.5" x14ac:dyDescent="0.35">
      <c r="B33" s="133" t="s">
        <v>164</v>
      </c>
      <c r="C33" s="120"/>
      <c r="D33" s="120"/>
    </row>
    <row r="34" spans="2:4" ht="15.5" x14ac:dyDescent="0.35">
      <c r="B34" s="133"/>
      <c r="C34" s="120"/>
      <c r="D34" s="120"/>
    </row>
    <row r="35" spans="2:4" ht="15.5" x14ac:dyDescent="0.35">
      <c r="B35" s="133" t="s">
        <v>165</v>
      </c>
      <c r="C35" s="139"/>
      <c r="D35" s="139"/>
    </row>
    <row r="36" spans="2:4" ht="15.5" x14ac:dyDescent="0.25">
      <c r="B36" s="132"/>
    </row>
    <row r="37" spans="2:4" ht="15.5" x14ac:dyDescent="0.25">
      <c r="B37" s="140" t="s">
        <v>166</v>
      </c>
      <c r="C37" s="141"/>
    </row>
  </sheetData>
  <mergeCells count="11">
    <mergeCell ref="C3:D3"/>
    <mergeCell ref="B9:D9"/>
    <mergeCell ref="B10:D10"/>
    <mergeCell ref="B11:D11"/>
    <mergeCell ref="B13:D13"/>
    <mergeCell ref="B15:D15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Решетняк Маргарита Игоревна</cp:lastModifiedBy>
  <cp:lastPrinted>2021-11-30T08:52:49Z</cp:lastPrinted>
  <dcterms:created xsi:type="dcterms:W3CDTF">2002-02-11T05:58:42Z</dcterms:created>
  <dcterms:modified xsi:type="dcterms:W3CDTF">2023-02-16T06:03:34Z</dcterms:modified>
</cp:coreProperties>
</file>